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vironmentcanterbury-my.sharepoint.com/personal/nadja_mclean_ecan_govt_nz/Documents/Documents/Consents/Wastewater/CRC221846 - ashburton wastewater/"/>
    </mc:Choice>
  </mc:AlternateContent>
  <xr:revisionPtr revIDLastSave="0" documentId="8_{21AF2A4C-4571-4B56-A003-E989ECE48CAE}" xr6:coauthVersionLast="47" xr6:coauthVersionMax="47" xr10:uidLastSave="{00000000-0000-0000-0000-000000000000}"/>
  <bookViews>
    <workbookView xWindow="-23340" yWindow="1950" windowWidth="23385" windowHeight="12960" xr2:uid="{18889D8F-E8B0-4403-A199-FFCE3D610DC3}"/>
  </bookViews>
  <sheets>
    <sheet name="SandBed_DesignOccupancy" sheetId="5" r:id="rId1"/>
    <sheet name="SandBed_AverageOccupancy" sheetId="6" r:id="rId2"/>
    <sheet name="SandBed_DesignOccupancyAES_X5" sheetId="7" r:id="rId3"/>
  </sheets>
  <definedNames>
    <definedName name="Days" localSheetId="1">SandBed_AverageOccupancy!$B$17</definedName>
    <definedName name="Days" localSheetId="0">SandBed_DesignOccupancy!$B$17</definedName>
    <definedName name="Days" localSheetId="2">SandBed_DesignOccupancyAES_X5!$B$17</definedName>
    <definedName name="Days">#REF!</definedName>
    <definedName name="N_Influent" localSheetId="1">SandBed_AverageOccupancy!$B$18</definedName>
    <definedName name="N_Influent" localSheetId="0">SandBed_DesignOccupancy!$B$18</definedName>
    <definedName name="N_Influent" localSheetId="2">SandBed_DesignOccupancyAES_X5!$B$18</definedName>
    <definedName name="N_Influent">#REF!</definedName>
    <definedName name="Persons" localSheetId="1">SandBed_AverageOccupancy!$B$14</definedName>
    <definedName name="Persons" localSheetId="0">SandBed_DesignOccupancy!$B$14</definedName>
    <definedName name="Persons" localSheetId="2">SandBed_DesignOccupancyAES_X5!$B$14</definedName>
    <definedName name="Persons">#REF!</definedName>
    <definedName name="_xlnm.Print_Area" localSheetId="1">SandBed_AverageOccupancy!$A$12:$D$38</definedName>
    <definedName name="_xlnm.Print_Area" localSheetId="0">SandBed_DesignOccupancy!$A$1:$D$40</definedName>
    <definedName name="_xlnm.Print_Area" localSheetId="2">SandBed_DesignOccupancyAES_X5!$A$1:$D$38</definedName>
    <definedName name="VolumePerDay" localSheetId="1">SandBed_AverageOccupancy!$B$16</definedName>
    <definedName name="VolumePerDay" localSheetId="0">SandBed_DesignOccupancy!$B$16</definedName>
    <definedName name="VolumePerDay" localSheetId="2">SandBed_DesignOccupancyAES_X5!$B$16</definedName>
    <definedName name="VolumePerDay">#REF!</definedName>
    <definedName name="VolumeperPersonperDay" localSheetId="1">SandBed_AverageOccupancy!$B$15</definedName>
    <definedName name="VolumeperPersonperDay" localSheetId="0">SandBed_DesignOccupancy!$B$15</definedName>
    <definedName name="VolumeperPersonperDay" localSheetId="2">SandBed_DesignOccupancyAES_X5!$B$15</definedName>
    <definedName name="VolumeperPersonperD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5" l="1"/>
  <c r="A39" i="5"/>
  <c r="A38" i="6" l="1"/>
  <c r="A38" i="7" l="1"/>
  <c r="D35" i="7"/>
  <c r="D29" i="7"/>
  <c r="B24" i="7"/>
  <c r="B26" i="7" s="1"/>
  <c r="B20" i="7"/>
  <c r="B19" i="7"/>
  <c r="B16" i="7"/>
  <c r="B21" i="7" s="1"/>
  <c r="A12" i="7"/>
  <c r="D35" i="6"/>
  <c r="B35" i="6"/>
  <c r="D35" i="5"/>
  <c r="B28" i="7" l="1"/>
  <c r="B30" i="7" s="1"/>
  <c r="B33" i="7" s="1"/>
  <c r="D28" i="7"/>
  <c r="B27" i="7"/>
  <c r="D29" i="6"/>
  <c r="B24" i="6"/>
  <c r="B26" i="6" s="1"/>
  <c r="B20" i="6"/>
  <c r="B19" i="6"/>
  <c r="B16" i="6"/>
  <c r="B21" i="6" s="1"/>
  <c r="A12" i="6"/>
  <c r="D29" i="5"/>
  <c r="B24" i="5"/>
  <c r="B26" i="5" s="1"/>
  <c r="B20" i="5"/>
  <c r="B19" i="5"/>
  <c r="B16" i="5"/>
  <c r="B21" i="5" s="1"/>
  <c r="A12" i="5"/>
  <c r="B29" i="7" l="1"/>
  <c r="D34" i="7"/>
  <c r="B34" i="7"/>
  <c r="B35" i="7" s="1"/>
  <c r="D28" i="6"/>
  <c r="B28" i="6"/>
  <c r="B27" i="6"/>
  <c r="B28" i="5"/>
  <c r="B27" i="5"/>
  <c r="D28" i="5"/>
  <c r="B29" i="6" l="1"/>
  <c r="B30" i="6"/>
  <c r="B33" i="6" s="1"/>
  <c r="B30" i="5"/>
  <c r="B33" i="5" s="1"/>
  <c r="B29" i="5"/>
  <c r="D34" i="6" l="1"/>
  <c r="B34" i="6"/>
  <c r="D34" i="5"/>
  <c r="B34" i="5"/>
  <c r="B35" i="5" s="1"/>
</calcChain>
</file>

<file path=xl/sharedStrings.xml><?xml version="1.0" encoding="utf-8"?>
<sst xmlns="http://schemas.openxmlformats.org/spreadsheetml/2006/main" count="189" uniqueCount="70">
  <si>
    <t>Days occupancy/year</t>
  </si>
  <si>
    <t>mg/L</t>
  </si>
  <si>
    <t>Average concentration from AS/NZS 1547:2012, Table S1</t>
  </si>
  <si>
    <t>kg/yr</t>
  </si>
  <si>
    <t>Notes:</t>
  </si>
  <si>
    <t>Daily volume</t>
  </si>
  <si>
    <t>L/person/day</t>
  </si>
  <si>
    <t>N concentration below LAS</t>
  </si>
  <si>
    <t>persons</t>
  </si>
  <si>
    <t>Statistics NZ data shows average occupancy for Ashburton is 2.6 people per house</t>
  </si>
  <si>
    <t>Total N in wastewater</t>
  </si>
  <si>
    <t>Total N reduction in treatment plant</t>
  </si>
  <si>
    <t>Total N concentration after treatment plant</t>
  </si>
  <si>
    <t>Oasis Series 2000</t>
  </si>
  <si>
    <t>Standard treatment</t>
  </si>
  <si>
    <t>Daily occupancy</t>
  </si>
  <si>
    <t>Maximum design occupancy</t>
  </si>
  <si>
    <t>Land area</t>
  </si>
  <si>
    <t>Total N reduction in sand column</t>
  </si>
  <si>
    <t>Total N concentration after sand column</t>
  </si>
  <si>
    <t>Total N load exiting sand trench</t>
  </si>
  <si>
    <t>Cells for data entry</t>
  </si>
  <si>
    <t>Total N exiting sand trench</t>
  </si>
  <si>
    <t>m2</t>
  </si>
  <si>
    <t>kg/ha/yr</t>
  </si>
  <si>
    <t>days</t>
  </si>
  <si>
    <t>Total N Concentration of influent</t>
  </si>
  <si>
    <t>Calculation of Total N in the Domestic Effluent</t>
  </si>
  <si>
    <t>Calculation of N reduction in treatment system</t>
  </si>
  <si>
    <t>Treatment level</t>
  </si>
  <si>
    <t>Land application system</t>
  </si>
  <si>
    <t>Sand bed (600mm)</t>
  </si>
  <si>
    <t>Table number</t>
  </si>
  <si>
    <t>Treatment system</t>
  </si>
  <si>
    <r>
      <t xml:space="preserve">Ref: Crites et al 1998, Table 11-13, p 743 </t>
    </r>
    <r>
      <rPr>
        <sz val="7"/>
        <color theme="1"/>
        <rFont val="Calibri"/>
        <family val="2"/>
      </rPr>
      <t>(2)</t>
    </r>
  </si>
  <si>
    <t>(1)  OSET Trials</t>
  </si>
  <si>
    <r>
      <t xml:space="preserve">OSET NTP Trial 10 - Oasis Series 2000 mean concentration </t>
    </r>
    <r>
      <rPr>
        <sz val="8"/>
        <color theme="1"/>
        <rFont val="Calibri"/>
        <family val="2"/>
      </rPr>
      <t>(1)</t>
    </r>
  </si>
  <si>
    <t>g/person/day</t>
  </si>
  <si>
    <t>kg/person/year</t>
  </si>
  <si>
    <t>kg/house/year</t>
  </si>
  <si>
    <t>Total N reduction over untreated effluent</t>
  </si>
  <si>
    <t>Calculation of N reduction below land application system</t>
  </si>
  <si>
    <t>Total N reduction by denitrification</t>
  </si>
  <si>
    <t>N concentration at groundwater</t>
  </si>
  <si>
    <t>Total N load to groundwater</t>
  </si>
  <si>
    <t>L/day</t>
  </si>
  <si>
    <t>Environment Canterbury - no reeduction fixtures</t>
  </si>
  <si>
    <t>Calculation to achieve OSET average N concentration</t>
  </si>
  <si>
    <t>Calculated N reduction</t>
  </si>
  <si>
    <t>Calculated N concentration ignoring rainfall</t>
  </si>
  <si>
    <t>Occupancy</t>
  </si>
  <si>
    <t>Design Occupancy</t>
  </si>
  <si>
    <t>Average Occupancy</t>
  </si>
  <si>
    <t>Marriott - Haugh</t>
  </si>
  <si>
    <t>46 McGrath Road, Ashburton</t>
  </si>
  <si>
    <t>AES with recirculating sandbed</t>
  </si>
  <si>
    <t>500% recirculation for addition N removal</t>
  </si>
  <si>
    <t>Nitrogen discharge to land</t>
  </si>
  <si>
    <r>
      <t xml:space="preserve">OSET NTP Trial 13 - AES 2000 mean concentration </t>
    </r>
    <r>
      <rPr>
        <sz val="8"/>
        <color theme="1"/>
        <rFont val="Calibri"/>
        <family val="2"/>
      </rPr>
      <t>(1)</t>
    </r>
  </si>
  <si>
    <t>(3) Gardner et al 1997. Ecological Sustainability and On-Site Effluent Treatment Systems, Australian Jurnal of Environmental Management, 4: 144-156
(4) D. M. Wheeler, D. C. Edmeades &amp; J. D. Morton (1997) Effect of lime on yield, N fixation, and plant N uptake from the soil by pasture on 3 contrasting trials in New Zealand, New Zealand Journal of Agricultural Research, 40:3, 397-408</t>
  </si>
  <si>
    <r>
      <t>Gardner et al 1997</t>
    </r>
    <r>
      <rPr>
        <vertAlign val="superscript"/>
        <sz val="11"/>
        <color theme="1"/>
        <rFont val="Calibri"/>
        <family val="2"/>
      </rPr>
      <t>3</t>
    </r>
  </si>
  <si>
    <t>AES Recirculation</t>
  </si>
  <si>
    <t>(2) US EPA (2002) suggests 18 -33% TN reduction for primary treated effluent in a sand bed, Converse suggests 40%.</t>
  </si>
  <si>
    <t>(4) Gardner et al 1997. Ecological Sustainability and On-Site Effluent Treatment Systems, Australian Jurnal of Environmental Management, 4: 144-156
(5) D. M. Wheeler, D. C. Edmeades &amp; J. D. Morton (1997) Effect of lime on yield, N fixation, and plant N uptake from the soil by pasture on 3 contrasting trials in New Zealand, New Zealand Journal of Agricultural Research, 40:3, 397-408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</si>
  <si>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</si>
  <si>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Gardner et al 1997</t>
    </r>
    <r>
      <rPr>
        <vertAlign val="superscript"/>
        <sz val="11"/>
        <color theme="1"/>
        <rFont val="Calibri"/>
        <family val="2"/>
      </rPr>
      <t>4</t>
    </r>
  </si>
  <si>
    <t>OSET NTP Trial 13 - AES-R discharge mean N concentration</t>
  </si>
  <si>
    <t>No reduction modelled</t>
  </si>
  <si>
    <r>
      <t>EPA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, Converse, Crites</t>
    </r>
    <r>
      <rPr>
        <vertAlign val="superscript"/>
        <sz val="11"/>
        <color theme="1"/>
        <rFont val="Calibri"/>
        <family val="2"/>
      </rPr>
      <t>3</t>
    </r>
  </si>
  <si>
    <t>Advanced secondary treatment with recirculation (500%)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</si>
</sst>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7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/>
      <bottom/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/>
      <top style="medium">
        <color rgb="FF4F81BD"/>
      </top>
      <bottom/>
      <diagonal/>
    </border>
    <border>
      <left/>
      <right/>
      <top style="medium">
        <color rgb="FF4F81BD"/>
      </top>
      <bottom/>
      <diagonal/>
    </border>
    <border>
      <left/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/>
      <top/>
      <bottom/>
      <diagonal/>
    </border>
    <border>
      <left/>
      <right style="medium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/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/>
      <right/>
      <top/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/>
      <diagonal/>
    </border>
    <border>
      <left style="thin">
        <color rgb="FF4F81BD"/>
      </left>
      <right/>
      <top/>
      <bottom style="thin">
        <color rgb="FF4F81BD"/>
      </bottom>
      <diagonal/>
    </border>
    <border>
      <left/>
      <right/>
      <top style="thin">
        <color rgb="FF4F81BD"/>
      </top>
      <bottom/>
      <diagonal/>
    </border>
    <border>
      <left style="thin">
        <color rgb="FF4F81BD"/>
      </left>
      <right/>
      <top/>
      <bottom/>
      <diagonal/>
    </border>
    <border>
      <left/>
      <right style="thin">
        <color rgb="FF4F81BD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9" fontId="1" fillId="3" borderId="1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1" fillId="0" borderId="1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1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/>
    </xf>
    <xf numFmtId="0" fontId="7" fillId="0" borderId="0" xfId="0" applyFont="1"/>
    <xf numFmtId="0" fontId="1" fillId="0" borderId="4" xfId="0" applyFont="1" applyBorder="1" applyAlignment="1">
      <alignment horizontal="left" vertical="center" wrapText="1" inden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1" fillId="0" borderId="14" xfId="0" applyFont="1" applyBorder="1" applyAlignment="1">
      <alignment horizontal="left" vertical="center" wrapText="1" inden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 indent="1"/>
    </xf>
    <xf numFmtId="0" fontId="1" fillId="0" borderId="24" xfId="0" applyFont="1" applyBorder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0" fillId="0" borderId="16" xfId="0" applyBorder="1"/>
    <xf numFmtId="0" fontId="1" fillId="0" borderId="27" xfId="0" applyFont="1" applyBorder="1" applyAlignment="1">
      <alignment horizontal="left" vertical="center" wrapText="1" indent="1"/>
    </xf>
    <xf numFmtId="9" fontId="1" fillId="3" borderId="16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9" fontId="1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vertical="top" wrapText="1"/>
    </xf>
    <xf numFmtId="0" fontId="1" fillId="0" borderId="3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3" fontId="7" fillId="0" borderId="0" xfId="0" applyNumberFormat="1" applyFont="1"/>
    <xf numFmtId="0" fontId="1" fillId="0" borderId="29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0" xfId="0" applyBorder="1" applyAlignment="1">
      <alignment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0" xfId="0" applyFont="1" applyFill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/>
    <xf numFmtId="0" fontId="7" fillId="0" borderId="21" xfId="0" applyFont="1" applyBorder="1" applyAlignment="1"/>
    <xf numFmtId="0" fontId="7" fillId="0" borderId="28" xfId="0" applyFont="1" applyBorder="1" applyAlignment="1"/>
    <xf numFmtId="0" fontId="1" fillId="0" borderId="26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5" fillId="2" borderId="7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/>
    <xf numFmtId="0" fontId="7" fillId="0" borderId="7" xfId="0" applyFont="1" applyBorder="1" applyAlignment="1"/>
    <xf numFmtId="0" fontId="1" fillId="0" borderId="5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8A31F-5B0D-4AAB-9C12-187BD6F0BAB2}">
  <sheetPr>
    <pageSetUpPr fitToPage="1"/>
  </sheetPr>
  <dimension ref="A1:K40"/>
  <sheetViews>
    <sheetView tabSelected="1" topLeftCell="A22" workbookViewId="0">
      <selection activeCell="D34" sqref="D34"/>
    </sheetView>
  </sheetViews>
  <sheetFormatPr defaultRowHeight="12.75" x14ac:dyDescent="0.2"/>
  <cols>
    <col min="1" max="1" width="40.7109375" customWidth="1"/>
    <col min="3" max="3" width="15.28515625" customWidth="1"/>
    <col min="4" max="4" width="51.42578125" customWidth="1"/>
    <col min="8" max="8" width="43.85546875" customWidth="1"/>
  </cols>
  <sheetData>
    <row r="1" spans="1:7" ht="18.75" x14ac:dyDescent="0.3">
      <c r="A1" s="33" t="s">
        <v>57</v>
      </c>
      <c r="B1" s="28"/>
      <c r="C1" s="28"/>
    </row>
    <row r="2" spans="1:7" ht="15" x14ac:dyDescent="0.25">
      <c r="A2" s="28"/>
      <c r="B2" s="28"/>
      <c r="C2" s="28"/>
    </row>
    <row r="3" spans="1:7" ht="15" x14ac:dyDescent="0.25">
      <c r="A3" s="28" t="s">
        <v>53</v>
      </c>
      <c r="B3" s="28"/>
      <c r="C3" s="28"/>
    </row>
    <row r="4" spans="1:7" ht="15" x14ac:dyDescent="0.25">
      <c r="A4" s="28" t="s">
        <v>54</v>
      </c>
      <c r="B4" s="28"/>
      <c r="C4" s="28"/>
      <c r="F4" s="17"/>
      <c r="G4" t="s">
        <v>21</v>
      </c>
    </row>
    <row r="5" spans="1:7" ht="15" x14ac:dyDescent="0.25">
      <c r="A5" s="28"/>
      <c r="B5" s="28"/>
      <c r="C5" s="28"/>
      <c r="F5" s="17"/>
    </row>
    <row r="6" spans="1:7" ht="15" x14ac:dyDescent="0.25">
      <c r="A6" s="32" t="s">
        <v>50</v>
      </c>
      <c r="B6" s="28" t="s">
        <v>51</v>
      </c>
      <c r="C6" s="28"/>
      <c r="F6" s="17"/>
    </row>
    <row r="7" spans="1:7" ht="15" x14ac:dyDescent="0.25">
      <c r="A7" s="32" t="s">
        <v>33</v>
      </c>
      <c r="B7" s="28" t="s">
        <v>61</v>
      </c>
      <c r="C7" s="28"/>
    </row>
    <row r="8" spans="1:7" ht="15" x14ac:dyDescent="0.25">
      <c r="A8" s="32" t="s">
        <v>29</v>
      </c>
      <c r="B8" s="28" t="s">
        <v>69</v>
      </c>
      <c r="C8" s="28"/>
      <c r="F8" s="17">
        <v>1</v>
      </c>
      <c r="G8" t="s">
        <v>32</v>
      </c>
    </row>
    <row r="9" spans="1:7" ht="15" x14ac:dyDescent="0.25">
      <c r="A9" s="32" t="s">
        <v>30</v>
      </c>
      <c r="B9" s="28" t="s">
        <v>31</v>
      </c>
      <c r="C9" s="28"/>
    </row>
    <row r="10" spans="1:7" ht="17.25" x14ac:dyDescent="0.25">
      <c r="A10" s="32" t="s">
        <v>17</v>
      </c>
      <c r="B10" s="70">
        <v>5000</v>
      </c>
      <c r="C10" s="28" t="s">
        <v>64</v>
      </c>
    </row>
    <row r="11" spans="1:7" ht="13.5" thickBot="1" x14ac:dyDescent="0.25"/>
    <row r="12" spans="1:7" ht="23.45" customHeight="1" thickBot="1" x14ac:dyDescent="0.25">
      <c r="A12" s="77" t="str">
        <f>"Table "&amp;F8&amp;": Total Nitrogen Assessment"</f>
        <v>Table 1: Total Nitrogen Assessment</v>
      </c>
      <c r="B12" s="78"/>
      <c r="C12" s="78"/>
      <c r="D12" s="79"/>
    </row>
    <row r="13" spans="1:7" ht="27.6" customHeight="1" x14ac:dyDescent="0.2">
      <c r="A13" t="s">
        <v>27</v>
      </c>
      <c r="D13" s="56"/>
    </row>
    <row r="14" spans="1:7" ht="27.6" customHeight="1" x14ac:dyDescent="0.2">
      <c r="A14" s="39" t="s">
        <v>15</v>
      </c>
      <c r="B14" s="38">
        <v>7</v>
      </c>
      <c r="C14" s="55" t="s">
        <v>8</v>
      </c>
      <c r="D14" s="55" t="s">
        <v>16</v>
      </c>
    </row>
    <row r="15" spans="1:7" ht="27.6" customHeight="1" x14ac:dyDescent="0.2">
      <c r="A15" s="40" t="s">
        <v>5</v>
      </c>
      <c r="B15" s="46">
        <v>200</v>
      </c>
      <c r="C15" s="45" t="s">
        <v>6</v>
      </c>
      <c r="D15" s="54" t="s">
        <v>46</v>
      </c>
    </row>
    <row r="16" spans="1:7" ht="27.6" customHeight="1" x14ac:dyDescent="0.2">
      <c r="A16" s="41"/>
      <c r="B16" s="43">
        <f>Persons*VolumeperPersonperDay</f>
        <v>1400</v>
      </c>
      <c r="C16" s="44" t="s">
        <v>45</v>
      </c>
      <c r="D16" s="42"/>
    </row>
    <row r="17" spans="1:8" ht="25.15" customHeight="1" x14ac:dyDescent="0.2">
      <c r="A17" s="39" t="s">
        <v>0</v>
      </c>
      <c r="B17" s="49">
        <v>365</v>
      </c>
      <c r="C17" s="50" t="s">
        <v>25</v>
      </c>
      <c r="D17" s="50"/>
    </row>
    <row r="18" spans="1:8" ht="30" customHeight="1" x14ac:dyDescent="0.2">
      <c r="A18" s="47" t="s">
        <v>26</v>
      </c>
      <c r="B18" s="38">
        <v>67.5</v>
      </c>
      <c r="C18" s="53" t="s">
        <v>1</v>
      </c>
      <c r="D18" s="55" t="s">
        <v>2</v>
      </c>
      <c r="F18" s="11"/>
    </row>
    <row r="19" spans="1:8" ht="30" customHeight="1" x14ac:dyDescent="0.2">
      <c r="A19" s="40" t="s">
        <v>10</v>
      </c>
      <c r="B19" s="51">
        <f>VolumeperPersonperDay*N_Influent/1000</f>
        <v>13.5</v>
      </c>
      <c r="C19" s="54" t="s">
        <v>37</v>
      </c>
      <c r="D19" s="54"/>
      <c r="F19" s="11"/>
    </row>
    <row r="20" spans="1:8" ht="30" customHeight="1" x14ac:dyDescent="0.2">
      <c r="A20" s="48"/>
      <c r="B20" s="51">
        <f>VolumeperPersonperDay*N_Influent/1000000*Days</f>
        <v>4.9275000000000002</v>
      </c>
      <c r="C20" s="48" t="s">
        <v>38</v>
      </c>
      <c r="D20" s="48"/>
      <c r="F20" s="11"/>
    </row>
    <row r="21" spans="1:8" ht="30" customHeight="1" x14ac:dyDescent="0.2">
      <c r="A21" s="42"/>
      <c r="B21" s="52">
        <f>VolumePerDay*Days*N_Influent/1000000</f>
        <v>34.4925</v>
      </c>
      <c r="C21" s="42" t="s">
        <v>39</v>
      </c>
      <c r="D21" s="42"/>
    </row>
    <row r="22" spans="1:8" ht="27.6" customHeight="1" x14ac:dyDescent="0.25">
      <c r="A22" s="80" t="s">
        <v>28</v>
      </c>
      <c r="B22" s="81"/>
      <c r="C22" s="81"/>
      <c r="D22" s="82"/>
    </row>
    <row r="23" spans="1:8" ht="27.6" customHeight="1" x14ac:dyDescent="0.2">
      <c r="A23" s="57" t="s">
        <v>11</v>
      </c>
      <c r="B23" s="58">
        <v>0.88600000000000001</v>
      </c>
      <c r="C23" s="69"/>
      <c r="D23" s="55" t="s">
        <v>47</v>
      </c>
    </row>
    <row r="24" spans="1:8" ht="27" customHeight="1" x14ac:dyDescent="0.2">
      <c r="A24" s="59" t="s">
        <v>12</v>
      </c>
      <c r="B24" s="60">
        <f>B18*(1-B23)</f>
        <v>7.6949999999999994</v>
      </c>
      <c r="C24" s="55" t="s">
        <v>1</v>
      </c>
      <c r="D24" s="44" t="s">
        <v>66</v>
      </c>
    </row>
    <row r="25" spans="1:8" ht="25.9" customHeight="1" x14ac:dyDescent="0.2">
      <c r="A25" s="39" t="s">
        <v>18</v>
      </c>
      <c r="B25" s="58">
        <v>0.15</v>
      </c>
      <c r="C25" s="55"/>
      <c r="D25" s="42" t="s">
        <v>68</v>
      </c>
    </row>
    <row r="26" spans="1:8" ht="28.15" customHeight="1" x14ac:dyDescent="0.2">
      <c r="A26" s="39" t="s">
        <v>19</v>
      </c>
      <c r="B26" s="61">
        <f>B24*(1-B25)</f>
        <v>6.5407499999999992</v>
      </c>
      <c r="C26" s="55" t="s">
        <v>1</v>
      </c>
      <c r="D26" s="42"/>
    </row>
    <row r="27" spans="1:8" ht="20.45" customHeight="1" x14ac:dyDescent="0.2">
      <c r="A27" s="59" t="s">
        <v>40</v>
      </c>
      <c r="B27" s="62">
        <f>(B18-B26)/B18</f>
        <v>0.90310000000000001</v>
      </c>
      <c r="C27" s="55"/>
      <c r="D27" s="42" t="s">
        <v>48</v>
      </c>
    </row>
    <row r="28" spans="1:8" ht="24.6" customHeight="1" x14ac:dyDescent="0.2">
      <c r="A28" s="59" t="s">
        <v>20</v>
      </c>
      <c r="B28" s="63">
        <f>B14*B15*B17*B26/1000000</f>
        <v>3.3423232499999997</v>
      </c>
      <c r="C28" s="55" t="s">
        <v>3</v>
      </c>
      <c r="D28" s="42" t="str">
        <f>B26&amp;" mg/L * "&amp; (B14*B15)&amp;" L/day *365 days/year"</f>
        <v>6.54075 mg/L * 1400 L/day *365 days/year</v>
      </c>
    </row>
    <row r="29" spans="1:8" ht="24.6" customHeight="1" x14ac:dyDescent="0.2">
      <c r="A29" s="59" t="s">
        <v>22</v>
      </c>
      <c r="B29" s="63">
        <f>10000/B10*B28</f>
        <v>6.6846464999999995</v>
      </c>
      <c r="C29" s="55" t="s">
        <v>24</v>
      </c>
      <c r="D29" s="42" t="str">
        <f>"Over the total land area of "&amp;B10&amp;C10</f>
        <v>Over the total land area of 5000m2</v>
      </c>
    </row>
    <row r="30" spans="1:8" ht="24.6" customHeight="1" x14ac:dyDescent="0.2">
      <c r="A30" s="59" t="s">
        <v>7</v>
      </c>
      <c r="B30" s="63">
        <f>(B28*1000000)/(B14*B15*B17)</f>
        <v>6.5407499999999992</v>
      </c>
      <c r="C30" s="55" t="s">
        <v>1</v>
      </c>
      <c r="D30" s="42" t="s">
        <v>49</v>
      </c>
    </row>
    <row r="31" spans="1:8" ht="24.6" customHeight="1" x14ac:dyDescent="0.25">
      <c r="A31" s="80" t="s">
        <v>41</v>
      </c>
      <c r="B31" s="83"/>
      <c r="C31" s="81"/>
      <c r="D31" s="82"/>
      <c r="H31" s="59"/>
    </row>
    <row r="32" spans="1:8" ht="24.6" customHeight="1" x14ac:dyDescent="0.2">
      <c r="A32" s="39" t="s">
        <v>42</v>
      </c>
      <c r="B32" s="62">
        <v>0</v>
      </c>
      <c r="C32" s="64"/>
      <c r="D32" s="42" t="s">
        <v>67</v>
      </c>
      <c r="H32" s="42" t="s">
        <v>65</v>
      </c>
    </row>
    <row r="33" spans="1:11" ht="24.6" customHeight="1" x14ac:dyDescent="0.2">
      <c r="A33" s="40" t="s">
        <v>43</v>
      </c>
      <c r="B33" s="66">
        <f>B30*(1-B32)</f>
        <v>6.5407499999999992</v>
      </c>
      <c r="C33" s="55" t="s">
        <v>1</v>
      </c>
      <c r="D33" s="47"/>
    </row>
    <row r="34" spans="1:11" ht="24.6" customHeight="1" x14ac:dyDescent="0.2">
      <c r="A34" s="40" t="s">
        <v>44</v>
      </c>
      <c r="B34" s="65">
        <f>B14*B15*B17*B33/1000000</f>
        <v>3.3423232499999997</v>
      </c>
      <c r="C34" s="54" t="s">
        <v>3</v>
      </c>
      <c r="D34" s="54" t="str">
        <f>B33&amp;" mg/L * "&amp; (B14*B15)&amp;" L/day *365 days/year"</f>
        <v>6.54075 mg/L * 1400 L/day *365 days/year</v>
      </c>
    </row>
    <row r="35" spans="1:11" ht="24.6" customHeight="1" x14ac:dyDescent="0.2">
      <c r="A35" s="47"/>
      <c r="B35" s="66">
        <f>10000/B10*B34</f>
        <v>6.6846464999999995</v>
      </c>
      <c r="C35" s="48" t="s">
        <v>24</v>
      </c>
      <c r="D35" s="48" t="str">
        <f>"Over the total land area of "&amp;B10&amp;C10</f>
        <v>Over the total land area of 5000m2</v>
      </c>
      <c r="H35">
        <f>10000/28*3</f>
        <v>1071.4285714285716</v>
      </c>
    </row>
    <row r="36" spans="1:11" ht="25.15" customHeight="1" x14ac:dyDescent="0.25">
      <c r="A36" s="84" t="s">
        <v>4</v>
      </c>
      <c r="B36" s="85"/>
      <c r="C36" s="85"/>
      <c r="D36" s="86"/>
      <c r="G36" s="71"/>
      <c r="H36" s="72"/>
      <c r="I36" s="72"/>
      <c r="J36" s="73"/>
    </row>
    <row r="37" spans="1:11" ht="14.45" customHeight="1" x14ac:dyDescent="0.2">
      <c r="A37" s="71" t="s">
        <v>35</v>
      </c>
      <c r="B37" s="72"/>
      <c r="C37" s="72"/>
      <c r="D37" s="73"/>
    </row>
    <row r="38" spans="1:11" ht="14.45" customHeight="1" x14ac:dyDescent="0.2">
      <c r="A38" s="71" t="s">
        <v>62</v>
      </c>
      <c r="B38" s="72"/>
      <c r="C38" s="72"/>
      <c r="D38" s="73"/>
    </row>
    <row r="39" spans="1:11" ht="36.6" customHeight="1" x14ac:dyDescent="0.2">
      <c r="A39" s="71" t="str">
        <f>"(3) Crites at al 1998 suggests 28 -50% TN reduction for secondary treated effluent in a sand bed. "&amp;B25*100&amp;"% has been used in this assessment"</f>
        <v>(3) Crites at al 1998 suggests 28 -50% TN reduction for secondary treated effluent in a sand bed. 15% has been used in this assessment</v>
      </c>
      <c r="B39" s="72"/>
      <c r="C39" s="72"/>
      <c r="D39" s="73"/>
    </row>
    <row r="40" spans="1:11" ht="67.150000000000006" customHeight="1" x14ac:dyDescent="0.2">
      <c r="A40" s="74"/>
      <c r="B40" s="75"/>
      <c r="C40" s="75"/>
      <c r="D40" s="76"/>
      <c r="H40" s="74" t="s">
        <v>63</v>
      </c>
      <c r="I40" s="75"/>
      <c r="J40" s="75"/>
      <c r="K40" s="76"/>
    </row>
  </sheetData>
  <mergeCells count="10">
    <mergeCell ref="G36:J36"/>
    <mergeCell ref="A37:D37"/>
    <mergeCell ref="A40:D40"/>
    <mergeCell ref="A12:D12"/>
    <mergeCell ref="A22:D22"/>
    <mergeCell ref="A31:D31"/>
    <mergeCell ref="A36:D36"/>
    <mergeCell ref="A39:D39"/>
    <mergeCell ref="A38:D38"/>
    <mergeCell ref="H40:K40"/>
  </mergeCells>
  <pageMargins left="0.7" right="0.7" top="0.75" bottom="0.75" header="0.3" footer="0.3"/>
  <pageSetup scale="7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6C8738-D7BD-4F66-98D3-0E6C3418DF19}">
  <sheetPr>
    <pageSetUpPr fitToPage="1"/>
  </sheetPr>
  <dimension ref="A1:G39"/>
  <sheetViews>
    <sheetView topLeftCell="A5" workbookViewId="0">
      <selection activeCell="A39" sqref="A39:D39"/>
    </sheetView>
  </sheetViews>
  <sheetFormatPr defaultRowHeight="12.75" x14ac:dyDescent="0.2"/>
  <cols>
    <col min="1" max="1" width="40.7109375" customWidth="1"/>
    <col min="3" max="3" width="15.28515625" customWidth="1"/>
    <col min="4" max="4" width="51.42578125" customWidth="1"/>
  </cols>
  <sheetData>
    <row r="1" spans="1:7" ht="18.75" x14ac:dyDescent="0.3">
      <c r="A1" s="33" t="s">
        <v>57</v>
      </c>
      <c r="B1" s="28"/>
      <c r="C1" s="28"/>
    </row>
    <row r="2" spans="1:7" ht="15" x14ac:dyDescent="0.25">
      <c r="A2" s="28"/>
      <c r="B2" s="28"/>
      <c r="C2" s="28"/>
    </row>
    <row r="3" spans="1:7" ht="15" x14ac:dyDescent="0.25">
      <c r="A3" s="28" t="s">
        <v>53</v>
      </c>
      <c r="B3" s="28"/>
      <c r="C3" s="28"/>
    </row>
    <row r="4" spans="1:7" ht="15" x14ac:dyDescent="0.25">
      <c r="A4" s="28" t="s">
        <v>54</v>
      </c>
      <c r="B4" s="28"/>
      <c r="C4" s="28"/>
      <c r="F4" s="17"/>
      <c r="G4" t="s">
        <v>21</v>
      </c>
    </row>
    <row r="5" spans="1:7" ht="15" x14ac:dyDescent="0.25">
      <c r="A5" s="28"/>
      <c r="B5" s="28"/>
      <c r="C5" s="28"/>
      <c r="F5" s="17"/>
    </row>
    <row r="6" spans="1:7" ht="15" x14ac:dyDescent="0.25">
      <c r="A6" s="32" t="s">
        <v>50</v>
      </c>
      <c r="B6" s="28" t="s">
        <v>52</v>
      </c>
      <c r="C6" s="28"/>
      <c r="F6" s="17"/>
    </row>
    <row r="7" spans="1:7" ht="15" x14ac:dyDescent="0.25">
      <c r="A7" s="32" t="s">
        <v>33</v>
      </c>
      <c r="B7" s="28" t="s">
        <v>13</v>
      </c>
      <c r="C7" s="28"/>
    </row>
    <row r="8" spans="1:7" ht="15" x14ac:dyDescent="0.25">
      <c r="A8" s="32" t="s">
        <v>29</v>
      </c>
      <c r="B8" s="28" t="s">
        <v>14</v>
      </c>
      <c r="C8" s="28"/>
      <c r="F8" s="17">
        <v>4</v>
      </c>
      <c r="G8" t="s">
        <v>32</v>
      </c>
    </row>
    <row r="9" spans="1:7" ht="15" x14ac:dyDescent="0.25">
      <c r="A9" s="32" t="s">
        <v>30</v>
      </c>
      <c r="B9" s="28" t="s">
        <v>31</v>
      </c>
      <c r="C9" s="28"/>
    </row>
    <row r="10" spans="1:7" ht="15" x14ac:dyDescent="0.25">
      <c r="A10" s="32" t="s">
        <v>17</v>
      </c>
      <c r="B10" s="28">
        <v>5000</v>
      </c>
      <c r="C10" s="28" t="s">
        <v>23</v>
      </c>
    </row>
    <row r="11" spans="1:7" ht="13.5" thickBot="1" x14ac:dyDescent="0.25"/>
    <row r="12" spans="1:7" ht="23.45" customHeight="1" thickBot="1" x14ac:dyDescent="0.25">
      <c r="A12" s="77" t="str">
        <f>"Table "&amp;F8&amp;": Total Nitrogen Assessment"</f>
        <v>Table 4: Total Nitrogen Assessment</v>
      </c>
      <c r="B12" s="78"/>
      <c r="C12" s="78"/>
      <c r="D12" s="87"/>
    </row>
    <row r="13" spans="1:7" ht="27.6" customHeight="1" thickBot="1" x14ac:dyDescent="0.25">
      <c r="A13" t="s">
        <v>27</v>
      </c>
      <c r="D13" s="19"/>
    </row>
    <row r="14" spans="1:7" ht="27.6" customHeight="1" thickBot="1" x14ac:dyDescent="0.25">
      <c r="A14" s="20" t="s">
        <v>15</v>
      </c>
      <c r="B14" s="16">
        <v>2.6</v>
      </c>
      <c r="C14" s="1" t="s">
        <v>8</v>
      </c>
      <c r="D14" s="1" t="s">
        <v>16</v>
      </c>
      <c r="G14" t="s">
        <v>9</v>
      </c>
    </row>
    <row r="15" spans="1:7" ht="27.6" customHeight="1" x14ac:dyDescent="0.2">
      <c r="A15" s="22" t="s">
        <v>5</v>
      </c>
      <c r="B15" s="31">
        <v>200</v>
      </c>
      <c r="C15" s="2" t="s">
        <v>6</v>
      </c>
      <c r="D15" s="2" t="s">
        <v>46</v>
      </c>
    </row>
    <row r="16" spans="1:7" ht="27.6" customHeight="1" thickBot="1" x14ac:dyDescent="0.25">
      <c r="A16" s="29"/>
      <c r="B16" s="30">
        <f>Persons*VolumeperPersonperDay</f>
        <v>520</v>
      </c>
      <c r="C16" s="12" t="s">
        <v>45</v>
      </c>
      <c r="D16" s="12"/>
    </row>
    <row r="17" spans="1:6" ht="25.15" customHeight="1" thickBot="1" x14ac:dyDescent="0.25">
      <c r="A17" s="20" t="s">
        <v>0</v>
      </c>
      <c r="B17" s="16">
        <v>365</v>
      </c>
      <c r="C17" s="4" t="s">
        <v>25</v>
      </c>
      <c r="D17" s="5"/>
    </row>
    <row r="18" spans="1:6" ht="30" customHeight="1" thickBot="1" x14ac:dyDescent="0.25">
      <c r="A18" s="20" t="s">
        <v>26</v>
      </c>
      <c r="B18" s="16">
        <v>60</v>
      </c>
      <c r="C18" s="1" t="s">
        <v>1</v>
      </c>
      <c r="D18" s="1" t="s">
        <v>2</v>
      </c>
      <c r="F18" s="11"/>
    </row>
    <row r="19" spans="1:6" ht="30" customHeight="1" x14ac:dyDescent="0.2">
      <c r="A19" s="22" t="s">
        <v>10</v>
      </c>
      <c r="B19" s="14">
        <f>VolumeperPersonperDay*N_Influent/1000</f>
        <v>12</v>
      </c>
      <c r="C19" s="2" t="s">
        <v>37</v>
      </c>
      <c r="D19" s="2"/>
      <c r="F19" s="11"/>
    </row>
    <row r="20" spans="1:6" ht="30" customHeight="1" x14ac:dyDescent="0.2">
      <c r="A20" s="3"/>
      <c r="B20" s="15">
        <f>VolumeperPersonperDay*N_Influent/1000000*Days</f>
        <v>4.38</v>
      </c>
      <c r="C20" s="3" t="s">
        <v>38</v>
      </c>
      <c r="D20" s="3"/>
      <c r="F20" s="11"/>
    </row>
    <row r="21" spans="1:6" ht="30" customHeight="1" thickBot="1" x14ac:dyDescent="0.25">
      <c r="A21" s="12"/>
      <c r="B21" s="13">
        <f>VolumePerDay*Days*N_Influent/1000000</f>
        <v>11.388</v>
      </c>
      <c r="C21" s="12" t="s">
        <v>39</v>
      </c>
      <c r="D21" s="12"/>
    </row>
    <row r="22" spans="1:6" ht="27.6" customHeight="1" thickBot="1" x14ac:dyDescent="0.3">
      <c r="A22" s="88" t="s">
        <v>28</v>
      </c>
      <c r="B22" s="89"/>
      <c r="C22" s="89"/>
      <c r="D22" s="90"/>
    </row>
    <row r="23" spans="1:6" ht="27.6" customHeight="1" thickBot="1" x14ac:dyDescent="0.25">
      <c r="A23" s="20" t="s">
        <v>11</v>
      </c>
      <c r="B23" s="18">
        <v>0.65</v>
      </c>
      <c r="C23" s="4"/>
      <c r="D23" s="4" t="s">
        <v>47</v>
      </c>
    </row>
    <row r="24" spans="1:6" ht="27" customHeight="1" thickBot="1" x14ac:dyDescent="0.25">
      <c r="A24" s="20" t="s">
        <v>12</v>
      </c>
      <c r="B24" s="8">
        <f>B18*(1-B23)</f>
        <v>21</v>
      </c>
      <c r="C24" s="1" t="s">
        <v>1</v>
      </c>
      <c r="D24" s="1" t="s">
        <v>36</v>
      </c>
    </row>
    <row r="25" spans="1:6" ht="25.9" customHeight="1" thickBot="1" x14ac:dyDescent="0.25">
      <c r="A25" s="20" t="s">
        <v>18</v>
      </c>
      <c r="B25" s="18">
        <v>0.35</v>
      </c>
      <c r="C25" s="4"/>
      <c r="D25" s="1" t="s">
        <v>34</v>
      </c>
    </row>
    <row r="26" spans="1:6" ht="28.15" customHeight="1" thickBot="1" x14ac:dyDescent="0.25">
      <c r="A26" s="20" t="s">
        <v>19</v>
      </c>
      <c r="B26" s="8">
        <f>B24*(1-B25)</f>
        <v>13.65</v>
      </c>
      <c r="C26" s="1" t="s">
        <v>1</v>
      </c>
      <c r="D26" s="4"/>
    </row>
    <row r="27" spans="1:6" ht="20.45" customHeight="1" thickBot="1" x14ac:dyDescent="0.25">
      <c r="A27" s="20" t="s">
        <v>40</v>
      </c>
      <c r="B27" s="9">
        <f>(B18-B26)/B18</f>
        <v>0.77250000000000008</v>
      </c>
      <c r="C27" s="4"/>
      <c r="D27" s="4" t="s">
        <v>48</v>
      </c>
    </row>
    <row r="28" spans="1:6" ht="24.6" customHeight="1" thickBot="1" x14ac:dyDescent="0.25">
      <c r="A28" s="20" t="s">
        <v>20</v>
      </c>
      <c r="B28" s="10">
        <f>B14*B15*B17*B26/1000000</f>
        <v>2.59077</v>
      </c>
      <c r="C28" s="6" t="s">
        <v>3</v>
      </c>
      <c r="D28" s="1" t="str">
        <f>B26&amp;" mg/L * "&amp; (B14*B15)&amp;" L/day *365 days/year"</f>
        <v>13.65 mg/L * 520 L/day *365 days/year</v>
      </c>
    </row>
    <row r="29" spans="1:6" ht="24.6" customHeight="1" thickBot="1" x14ac:dyDescent="0.25">
      <c r="A29" s="21" t="s">
        <v>22</v>
      </c>
      <c r="B29" s="10">
        <f>10000/B10*B28</f>
        <v>5.18154</v>
      </c>
      <c r="C29" s="7" t="s">
        <v>24</v>
      </c>
      <c r="D29" s="1" t="str">
        <f>"Over the total land area of "&amp;B10&amp;C10</f>
        <v>Over the total land area of 5000m2</v>
      </c>
    </row>
    <row r="30" spans="1:6" ht="24.6" customHeight="1" thickBot="1" x14ac:dyDescent="0.25">
      <c r="A30" s="21" t="s">
        <v>7</v>
      </c>
      <c r="B30" s="10">
        <f>(B28*1000000)/(B14*B15*B17)</f>
        <v>13.65</v>
      </c>
      <c r="C30" s="7" t="s">
        <v>1</v>
      </c>
      <c r="D30" s="1" t="s">
        <v>49</v>
      </c>
    </row>
    <row r="31" spans="1:6" ht="24.6" customHeight="1" thickBot="1" x14ac:dyDescent="0.25">
      <c r="A31" s="91" t="s">
        <v>41</v>
      </c>
      <c r="B31" s="92"/>
      <c r="C31" s="92"/>
      <c r="D31" s="93"/>
    </row>
    <row r="32" spans="1:6" ht="24.6" customHeight="1" thickBot="1" x14ac:dyDescent="0.25">
      <c r="A32" s="26" t="s">
        <v>42</v>
      </c>
      <c r="B32" s="9">
        <v>0.2</v>
      </c>
      <c r="C32" s="6"/>
      <c r="D32" s="27" t="s">
        <v>60</v>
      </c>
    </row>
    <row r="33" spans="1:4" ht="24.6" customHeight="1" thickBot="1" x14ac:dyDescent="0.25">
      <c r="A33" s="26" t="s">
        <v>43</v>
      </c>
      <c r="B33" s="10">
        <f>B30*(1-B32)</f>
        <v>10.920000000000002</v>
      </c>
      <c r="C33" s="6" t="s">
        <v>1</v>
      </c>
      <c r="D33" s="27"/>
    </row>
    <row r="34" spans="1:4" ht="24.6" customHeight="1" thickBot="1" x14ac:dyDescent="0.25">
      <c r="A34" s="26" t="s">
        <v>44</v>
      </c>
      <c r="B34" s="36">
        <f>B14*B15*B17*B33/1000000</f>
        <v>2.072616</v>
      </c>
      <c r="C34" s="37" t="s">
        <v>3</v>
      </c>
      <c r="D34" s="2" t="str">
        <f>B33&amp;" mg/L * "&amp; (B14*B15)&amp;" L/day *365 days/year"</f>
        <v>10.92 mg/L * 520 L/day *365 days/year</v>
      </c>
    </row>
    <row r="35" spans="1:4" ht="24.6" customHeight="1" thickBot="1" x14ac:dyDescent="0.25">
      <c r="A35" s="34"/>
      <c r="B35" s="35">
        <f>10000/B10*B34</f>
        <v>4.145232</v>
      </c>
      <c r="C35" s="7" t="s">
        <v>24</v>
      </c>
      <c r="D35" s="12" t="str">
        <f>"Over the total land area of "&amp;B10&amp;C10</f>
        <v>Over the total land area of 5000m2</v>
      </c>
    </row>
    <row r="36" spans="1:4" ht="25.15" customHeight="1" x14ac:dyDescent="0.25">
      <c r="A36" s="94" t="s">
        <v>4</v>
      </c>
      <c r="B36" s="95"/>
      <c r="C36" s="95"/>
      <c r="D36" s="96"/>
    </row>
    <row r="37" spans="1:4" ht="14.45" customHeight="1" x14ac:dyDescent="0.2">
      <c r="A37" s="23" t="s">
        <v>35</v>
      </c>
      <c r="B37" s="24"/>
      <c r="C37" s="24"/>
      <c r="D37" s="25"/>
    </row>
    <row r="38" spans="1:4" ht="20.45" customHeight="1" thickBot="1" x14ac:dyDescent="0.25">
      <c r="A38" s="97" t="str">
        <f t="shared" ref="A38" si="0">"(2) Crites at al 1998 suggests 28 -50% TN reduction for secondary treated effluent in a sand bed. "&amp;B25*100&amp;"% has been used in this assessment"</f>
        <v>(2) Crites at al 1998 suggests 28 -50% TN reduction for secondary treated effluent in a sand bed. 35% has been used in this assessment</v>
      </c>
      <c r="B38" s="98"/>
      <c r="C38" s="98"/>
      <c r="D38" s="99"/>
    </row>
    <row r="39" spans="1:4" ht="68.45" customHeight="1" x14ac:dyDescent="0.2">
      <c r="A39" s="74" t="s">
        <v>59</v>
      </c>
      <c r="B39" s="75"/>
      <c r="C39" s="75"/>
      <c r="D39" s="76"/>
    </row>
  </sheetData>
  <mergeCells count="6">
    <mergeCell ref="A39:D39"/>
    <mergeCell ref="A12:D12"/>
    <mergeCell ref="A22:D22"/>
    <mergeCell ref="A31:D31"/>
    <mergeCell ref="A36:D36"/>
    <mergeCell ref="A38:D38"/>
  </mergeCells>
  <pageMargins left="0.7" right="0.7" top="0.75" bottom="0.75" header="0.3" footer="0.3"/>
  <pageSetup scale="88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696A1-B07E-48D1-9658-50A65B2AB535}">
  <sheetPr>
    <pageSetUpPr fitToPage="1"/>
  </sheetPr>
  <dimension ref="A1:H39"/>
  <sheetViews>
    <sheetView topLeftCell="A14" workbookViewId="0">
      <selection sqref="A1:C10"/>
    </sheetView>
  </sheetViews>
  <sheetFormatPr defaultRowHeight="12.75" x14ac:dyDescent="0.2"/>
  <cols>
    <col min="1" max="1" width="40.7109375" customWidth="1"/>
    <col min="3" max="3" width="15.28515625" customWidth="1"/>
    <col min="4" max="4" width="51.42578125" customWidth="1"/>
  </cols>
  <sheetData>
    <row r="1" spans="1:7" ht="18.75" x14ac:dyDescent="0.3">
      <c r="A1" s="33" t="s">
        <v>57</v>
      </c>
      <c r="B1" s="28"/>
      <c r="C1" s="28"/>
    </row>
    <row r="2" spans="1:7" ht="15" x14ac:dyDescent="0.25">
      <c r="A2" s="28"/>
      <c r="B2" s="28"/>
      <c r="C2" s="28"/>
    </row>
    <row r="3" spans="1:7" ht="15" x14ac:dyDescent="0.25">
      <c r="A3" s="28" t="s">
        <v>53</v>
      </c>
      <c r="B3" s="28"/>
      <c r="C3" s="28"/>
    </row>
    <row r="4" spans="1:7" ht="15" x14ac:dyDescent="0.25">
      <c r="A4" s="28" t="s">
        <v>54</v>
      </c>
      <c r="B4" s="28"/>
      <c r="C4" s="28"/>
      <c r="F4" s="17"/>
      <c r="G4" t="s">
        <v>21</v>
      </c>
    </row>
    <row r="5" spans="1:7" ht="15" x14ac:dyDescent="0.25">
      <c r="A5" s="28"/>
      <c r="B5" s="28"/>
      <c r="C5" s="28"/>
      <c r="F5" s="17"/>
    </row>
    <row r="6" spans="1:7" ht="15" x14ac:dyDescent="0.25">
      <c r="A6" s="32" t="s">
        <v>50</v>
      </c>
      <c r="B6" s="28" t="s">
        <v>51</v>
      </c>
      <c r="C6" s="28"/>
      <c r="F6" s="17"/>
    </row>
    <row r="7" spans="1:7" ht="15" x14ac:dyDescent="0.25">
      <c r="A7" s="32" t="s">
        <v>33</v>
      </c>
      <c r="B7" s="28" t="s">
        <v>55</v>
      </c>
      <c r="C7" s="28"/>
    </row>
    <row r="8" spans="1:7" ht="15" x14ac:dyDescent="0.25">
      <c r="A8" s="32" t="s">
        <v>29</v>
      </c>
      <c r="B8" s="28" t="s">
        <v>56</v>
      </c>
      <c r="C8" s="28"/>
      <c r="F8" s="17">
        <v>2</v>
      </c>
      <c r="G8" t="s">
        <v>32</v>
      </c>
    </row>
    <row r="9" spans="1:7" ht="15" x14ac:dyDescent="0.25">
      <c r="A9" s="32" t="s">
        <v>30</v>
      </c>
      <c r="B9" s="28" t="s">
        <v>31</v>
      </c>
      <c r="C9" s="28"/>
    </row>
    <row r="10" spans="1:7" ht="15" x14ac:dyDescent="0.25">
      <c r="A10" s="32" t="s">
        <v>17</v>
      </c>
      <c r="B10" s="70">
        <v>5000</v>
      </c>
      <c r="C10" s="28" t="s">
        <v>23</v>
      </c>
    </row>
    <row r="11" spans="1:7" ht="13.5" thickBot="1" x14ac:dyDescent="0.25"/>
    <row r="12" spans="1:7" ht="23.45" customHeight="1" thickBot="1" x14ac:dyDescent="0.25">
      <c r="A12" s="77" t="str">
        <f>"Table "&amp;F8&amp;": Total Nitrogen Assessment"</f>
        <v>Table 2: Total Nitrogen Assessment</v>
      </c>
      <c r="B12" s="78"/>
      <c r="C12" s="78"/>
      <c r="D12" s="79"/>
    </row>
    <row r="13" spans="1:7" ht="27.6" customHeight="1" x14ac:dyDescent="0.2">
      <c r="A13" t="s">
        <v>27</v>
      </c>
      <c r="D13" s="56"/>
    </row>
    <row r="14" spans="1:7" ht="27.6" customHeight="1" x14ac:dyDescent="0.2">
      <c r="A14" s="39" t="s">
        <v>15</v>
      </c>
      <c r="B14" s="38">
        <v>7</v>
      </c>
      <c r="C14" s="55" t="s">
        <v>8</v>
      </c>
      <c r="D14" s="55" t="s">
        <v>16</v>
      </c>
    </row>
    <row r="15" spans="1:7" ht="27.6" customHeight="1" x14ac:dyDescent="0.2">
      <c r="A15" s="40" t="s">
        <v>5</v>
      </c>
      <c r="B15" s="46">
        <v>200</v>
      </c>
      <c r="C15" s="45" t="s">
        <v>6</v>
      </c>
      <c r="D15" s="54" t="s">
        <v>46</v>
      </c>
    </row>
    <row r="16" spans="1:7" ht="27.6" customHeight="1" x14ac:dyDescent="0.2">
      <c r="A16" s="41"/>
      <c r="B16" s="43">
        <f>Persons*VolumeperPersonperDay</f>
        <v>1400</v>
      </c>
      <c r="C16" s="44" t="s">
        <v>45</v>
      </c>
      <c r="D16" s="42"/>
    </row>
    <row r="17" spans="1:8" ht="25.15" customHeight="1" x14ac:dyDescent="0.2">
      <c r="A17" s="39" t="s">
        <v>0</v>
      </c>
      <c r="B17" s="49">
        <v>365</v>
      </c>
      <c r="C17" s="50" t="s">
        <v>25</v>
      </c>
      <c r="D17" s="50"/>
    </row>
    <row r="18" spans="1:8" ht="30" customHeight="1" x14ac:dyDescent="0.2">
      <c r="A18" s="47" t="s">
        <v>26</v>
      </c>
      <c r="B18" s="38">
        <v>60</v>
      </c>
      <c r="C18" s="53" t="s">
        <v>1</v>
      </c>
      <c r="D18" s="55" t="s">
        <v>2</v>
      </c>
      <c r="F18" s="11"/>
    </row>
    <row r="19" spans="1:8" ht="30" customHeight="1" x14ac:dyDescent="0.2">
      <c r="A19" s="40" t="s">
        <v>10</v>
      </c>
      <c r="B19" s="51">
        <f>VolumeperPersonperDay*N_Influent/1000</f>
        <v>12</v>
      </c>
      <c r="C19" s="54" t="s">
        <v>37</v>
      </c>
      <c r="D19" s="54"/>
      <c r="F19" s="11"/>
    </row>
    <row r="20" spans="1:8" ht="30" customHeight="1" x14ac:dyDescent="0.2">
      <c r="A20" s="48"/>
      <c r="B20" s="51">
        <f>VolumeperPersonperDay*N_Influent/1000000*Days</f>
        <v>4.38</v>
      </c>
      <c r="C20" s="48" t="s">
        <v>38</v>
      </c>
      <c r="D20" s="48"/>
      <c r="F20" s="11"/>
    </row>
    <row r="21" spans="1:8" ht="30" customHeight="1" x14ac:dyDescent="0.2">
      <c r="A21" s="42"/>
      <c r="B21" s="52">
        <f>VolumePerDay*Days*N_Influent/1000000</f>
        <v>30.66</v>
      </c>
      <c r="C21" s="42" t="s">
        <v>39</v>
      </c>
      <c r="D21" s="42"/>
    </row>
    <row r="22" spans="1:8" ht="27.6" customHeight="1" x14ac:dyDescent="0.25">
      <c r="A22" s="80" t="s">
        <v>28</v>
      </c>
      <c r="B22" s="81"/>
      <c r="C22" s="81"/>
      <c r="D22" s="82"/>
    </row>
    <row r="23" spans="1:8" ht="27.6" customHeight="1" x14ac:dyDescent="0.2">
      <c r="A23" s="57" t="s">
        <v>11</v>
      </c>
      <c r="B23" s="58">
        <v>0.87</v>
      </c>
      <c r="C23" s="69"/>
      <c r="D23" s="55" t="s">
        <v>47</v>
      </c>
    </row>
    <row r="24" spans="1:8" ht="27" customHeight="1" x14ac:dyDescent="0.2">
      <c r="A24" s="59" t="s">
        <v>12</v>
      </c>
      <c r="B24" s="60">
        <f>B18*(1-B23)</f>
        <v>7.8000000000000007</v>
      </c>
      <c r="C24" s="55" t="s">
        <v>1</v>
      </c>
      <c r="D24" s="54" t="s">
        <v>58</v>
      </c>
    </row>
    <row r="25" spans="1:8" ht="25.9" customHeight="1" x14ac:dyDescent="0.2">
      <c r="A25" s="39" t="s">
        <v>18</v>
      </c>
      <c r="B25" s="58">
        <v>0.35</v>
      </c>
      <c r="C25" s="55"/>
      <c r="D25" s="42" t="s">
        <v>34</v>
      </c>
    </row>
    <row r="26" spans="1:8" ht="28.15" customHeight="1" x14ac:dyDescent="0.2">
      <c r="A26" s="39" t="s">
        <v>19</v>
      </c>
      <c r="B26" s="61">
        <f>B24*(1-B25)</f>
        <v>5.07</v>
      </c>
      <c r="C26" s="55" t="s">
        <v>1</v>
      </c>
      <c r="D26" s="42"/>
    </row>
    <row r="27" spans="1:8" ht="20.45" customHeight="1" x14ac:dyDescent="0.2">
      <c r="A27" s="59" t="s">
        <v>40</v>
      </c>
      <c r="B27" s="62">
        <f>(B18-B26)/B18</f>
        <v>0.91549999999999998</v>
      </c>
      <c r="C27" s="55"/>
      <c r="D27" s="42" t="s">
        <v>48</v>
      </c>
    </row>
    <row r="28" spans="1:8" ht="24.6" customHeight="1" x14ac:dyDescent="0.2">
      <c r="A28" s="59" t="s">
        <v>20</v>
      </c>
      <c r="B28" s="63">
        <f>B14*B15*B17*B26/1000000</f>
        <v>2.59077</v>
      </c>
      <c r="C28" s="55" t="s">
        <v>3</v>
      </c>
      <c r="D28" s="42" t="str">
        <f>B26&amp;" mg/L * "&amp; (B14*B15)&amp;" L/day *365 days/year"</f>
        <v>5.07 mg/L * 1400 L/day *365 days/year</v>
      </c>
    </row>
    <row r="29" spans="1:8" ht="24.6" customHeight="1" x14ac:dyDescent="0.2">
      <c r="A29" s="59" t="s">
        <v>22</v>
      </c>
      <c r="B29" s="63">
        <f>10000/B10*B28</f>
        <v>5.18154</v>
      </c>
      <c r="C29" s="55" t="s">
        <v>24</v>
      </c>
      <c r="D29" s="42" t="str">
        <f>"Over the total land area of "&amp;B10&amp;C10</f>
        <v>Over the total land area of 5000m2</v>
      </c>
    </row>
    <row r="30" spans="1:8" ht="24.6" customHeight="1" x14ac:dyDescent="0.2">
      <c r="A30" s="59" t="s">
        <v>7</v>
      </c>
      <c r="B30" s="63">
        <f>(B28*1000000)/(B14*B15*B17)</f>
        <v>5.07</v>
      </c>
      <c r="C30" s="55" t="s">
        <v>1</v>
      </c>
      <c r="D30" s="42" t="s">
        <v>49</v>
      </c>
    </row>
    <row r="31" spans="1:8" ht="24.6" customHeight="1" x14ac:dyDescent="0.25">
      <c r="A31" s="80" t="s">
        <v>41</v>
      </c>
      <c r="B31" s="83"/>
      <c r="C31" s="81"/>
      <c r="D31" s="82"/>
      <c r="H31" s="59"/>
    </row>
    <row r="32" spans="1:8" ht="24.6" customHeight="1" x14ac:dyDescent="0.2">
      <c r="A32" s="39" t="s">
        <v>42</v>
      </c>
      <c r="B32" s="62">
        <v>0.2</v>
      </c>
      <c r="C32" s="64"/>
      <c r="D32" s="42" t="s">
        <v>60</v>
      </c>
    </row>
    <row r="33" spans="1:4" ht="24.6" customHeight="1" x14ac:dyDescent="0.2">
      <c r="A33" s="40" t="s">
        <v>43</v>
      </c>
      <c r="B33" s="66">
        <f>B30*(1-B32)</f>
        <v>4.056</v>
      </c>
      <c r="C33" s="55" t="s">
        <v>1</v>
      </c>
      <c r="D33" s="47"/>
    </row>
    <row r="34" spans="1:4" ht="24.6" customHeight="1" x14ac:dyDescent="0.2">
      <c r="A34" s="40" t="s">
        <v>44</v>
      </c>
      <c r="B34" s="65">
        <f>B14*B15*B17*B33/1000000</f>
        <v>2.072616</v>
      </c>
      <c r="C34" s="54" t="s">
        <v>3</v>
      </c>
      <c r="D34" s="54" t="str">
        <f>B33&amp;" mg/L * "&amp; (B14*B15)&amp;" L/day *365 days/year"</f>
        <v>4.056 mg/L * 1400 L/day *365 days/year</v>
      </c>
    </row>
    <row r="35" spans="1:4" ht="24.6" customHeight="1" x14ac:dyDescent="0.2">
      <c r="A35" s="47"/>
      <c r="B35" s="66">
        <f>10000/B10*B34</f>
        <v>4.145232</v>
      </c>
      <c r="C35" s="48" t="s">
        <v>24</v>
      </c>
      <c r="D35" s="48" t="str">
        <f>"Over the total land area of "&amp;B10&amp;C10</f>
        <v>Over the total land area of 5000m2</v>
      </c>
    </row>
    <row r="36" spans="1:4" ht="25.15" customHeight="1" x14ac:dyDescent="0.25">
      <c r="A36" s="84" t="s">
        <v>4</v>
      </c>
      <c r="B36" s="85"/>
      <c r="C36" s="85"/>
      <c r="D36" s="86"/>
    </row>
    <row r="37" spans="1:4" ht="14.45" customHeight="1" x14ac:dyDescent="0.2">
      <c r="A37" s="67" t="s">
        <v>35</v>
      </c>
      <c r="B37" s="24"/>
      <c r="C37" s="24"/>
      <c r="D37" s="68"/>
    </row>
    <row r="38" spans="1:4" ht="19.899999999999999" customHeight="1" x14ac:dyDescent="0.2">
      <c r="A38" s="74" t="str">
        <f>"(2) Crites at al 1998 suggests 28 -50% TN reduction for secondary treated effluent in a sand bed. "&amp;B25*100&amp;"% has been used in this assessment"</f>
        <v>(2) Crites at al 1998 suggests 28 -50% TN reduction for secondary treated effluent in a sand bed. 35% has been used in this assessment</v>
      </c>
      <c r="B38" s="75"/>
      <c r="C38" s="75"/>
      <c r="D38" s="76"/>
    </row>
    <row r="39" spans="1:4" ht="59.45" customHeight="1" x14ac:dyDescent="0.2">
      <c r="A39" s="74" t="s">
        <v>59</v>
      </c>
      <c r="B39" s="75"/>
      <c r="C39" s="75"/>
      <c r="D39" s="76"/>
    </row>
  </sheetData>
  <mergeCells count="6">
    <mergeCell ref="A39:D39"/>
    <mergeCell ref="A12:D12"/>
    <mergeCell ref="A22:D22"/>
    <mergeCell ref="A31:D31"/>
    <mergeCell ref="A36:D36"/>
    <mergeCell ref="A38:D38"/>
  </mergeCells>
  <pageMargins left="0.7" right="0.7" top="0.75" bottom="0.7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18</vt:i4>
      </vt:variant>
    </vt:vector>
  </HeadingPairs>
  <TitlesOfParts>
    <vt:vector size="21" baseType="lpstr">
      <vt:lpstr>SandBed_DesignOccupancy</vt:lpstr>
      <vt:lpstr>SandBed_AverageOccupancy</vt:lpstr>
      <vt:lpstr>SandBed_DesignOccupancyAES_X5</vt:lpstr>
      <vt:lpstr>SandBed_AverageOccupancy!Days</vt:lpstr>
      <vt:lpstr>SandBed_DesignOccupancy!Days</vt:lpstr>
      <vt:lpstr>SandBed_DesignOccupancyAES_X5!Days</vt:lpstr>
      <vt:lpstr>SandBed_AverageOccupancy!N_Influent</vt:lpstr>
      <vt:lpstr>SandBed_DesignOccupancy!N_Influent</vt:lpstr>
      <vt:lpstr>SandBed_DesignOccupancyAES_X5!N_Influent</vt:lpstr>
      <vt:lpstr>SandBed_AverageOccupancy!Persons</vt:lpstr>
      <vt:lpstr>SandBed_DesignOccupancy!Persons</vt:lpstr>
      <vt:lpstr>SandBed_DesignOccupancyAES_X5!Persons</vt:lpstr>
      <vt:lpstr>SandBed_AverageOccupancy!Print_Area</vt:lpstr>
      <vt:lpstr>SandBed_DesignOccupancy!Print_Area</vt:lpstr>
      <vt:lpstr>SandBed_DesignOccupancyAES_X5!Print_Area</vt:lpstr>
      <vt:lpstr>SandBed_AverageOccupancy!VolumePerDay</vt:lpstr>
      <vt:lpstr>SandBed_DesignOccupancy!VolumePerDay</vt:lpstr>
      <vt:lpstr>SandBed_DesignOccupancyAES_X5!VolumePerDay</vt:lpstr>
      <vt:lpstr>SandBed_AverageOccupancy!VolumeperPersonperDay</vt:lpstr>
      <vt:lpstr>SandBed_DesignOccupancy!VolumeperPersonperDay</vt:lpstr>
      <vt:lpstr>SandBed_DesignOccupancyAES_X5!VolumeperPersonperDay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Rae</dc:creator>
  <cp:lastModifiedBy>Nadja McLean</cp:lastModifiedBy>
  <cp:lastPrinted>2022-04-27T06:27:47Z</cp:lastPrinted>
  <dcterms:created xsi:type="dcterms:W3CDTF">2021-09-16T00:34:18Z</dcterms:created>
  <dcterms:modified xsi:type="dcterms:W3CDTF">2022-11-18T02:54:44Z</dcterms:modified>
</cp:coreProperties>
</file>