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r\Documents\Irricon\Marriott-Haugh, Karen\J5317_Marr_Onsite_Nov2021\"/>
    </mc:Choice>
  </mc:AlternateContent>
  <xr:revisionPtr revIDLastSave="0" documentId="13_ncr:1_{9702DB86-0888-40DF-8A98-7265897795C6}" xr6:coauthVersionLast="47" xr6:coauthVersionMax="47" xr10:uidLastSave="{00000000-0000-0000-0000-000000000000}"/>
  <bookViews>
    <workbookView xWindow="915" yWindow="-16320" windowWidth="29040" windowHeight="15840" activeTab="1" xr2:uid="{5E30B8F9-562C-4E37-9BC6-6718729CDB2A}"/>
  </bookViews>
  <sheets>
    <sheet name="SandBed" sheetId="1" r:id="rId1"/>
    <sheet name="DripLine" sheetId="2" r:id="rId2"/>
  </sheets>
  <definedNames>
    <definedName name="_xlnm.Print_Area" localSheetId="1">DripLine!$N$3:$Y$51</definedName>
    <definedName name="_xlnm.Print_Area" localSheetId="0">SandBed!$N$3:$Y$51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8" i="2" l="1"/>
  <c r="R33" i="2"/>
  <c r="R23" i="2"/>
  <c r="R27" i="2" s="1"/>
  <c r="J17" i="2"/>
  <c r="I17" i="2"/>
  <c r="I18" i="2" s="1"/>
  <c r="H17" i="2"/>
  <c r="H18" i="2" s="1"/>
  <c r="G17" i="2"/>
  <c r="G18" i="2" s="1"/>
  <c r="F17" i="2"/>
  <c r="F18" i="2" s="1"/>
  <c r="E17" i="2"/>
  <c r="E18" i="2" s="1"/>
  <c r="D17" i="2"/>
  <c r="D18" i="2" s="1"/>
  <c r="J14" i="2"/>
  <c r="J15" i="2" s="1"/>
  <c r="I14" i="2"/>
  <c r="I19" i="2" s="1"/>
  <c r="H14" i="2"/>
  <c r="H19" i="2" s="1"/>
  <c r="G14" i="2"/>
  <c r="G15" i="2" s="1"/>
  <c r="F14" i="2"/>
  <c r="F15" i="2" s="1"/>
  <c r="E14" i="2"/>
  <c r="E15" i="2" s="1"/>
  <c r="D14" i="2"/>
  <c r="D15" i="2" s="1"/>
  <c r="I12" i="2"/>
  <c r="H12" i="2"/>
  <c r="G12" i="2"/>
  <c r="F12" i="2"/>
  <c r="J11" i="2"/>
  <c r="I11" i="2"/>
  <c r="H11" i="2"/>
  <c r="H31" i="2" s="1"/>
  <c r="G11" i="2"/>
  <c r="F11" i="2"/>
  <c r="E11" i="2"/>
  <c r="E12" i="2" s="1"/>
  <c r="D11" i="2"/>
  <c r="D31" i="2" s="1"/>
  <c r="J9" i="2"/>
  <c r="I9" i="2"/>
  <c r="H9" i="2"/>
  <c r="G9" i="2"/>
  <c r="F9" i="2"/>
  <c r="E9" i="2"/>
  <c r="D9" i="2"/>
  <c r="P48" i="1"/>
  <c r="J9" i="1"/>
  <c r="I9" i="1"/>
  <c r="H9" i="1"/>
  <c r="G9" i="1"/>
  <c r="F9" i="1"/>
  <c r="E9" i="1"/>
  <c r="D9" i="1"/>
  <c r="R33" i="1"/>
  <c r="R23" i="1"/>
  <c r="R27" i="1" s="1"/>
  <c r="J17" i="1"/>
  <c r="J18" i="1" s="1"/>
  <c r="I17" i="1"/>
  <c r="H17" i="1"/>
  <c r="G17" i="1"/>
  <c r="F17" i="1"/>
  <c r="E17" i="1"/>
  <c r="E18" i="1" s="1"/>
  <c r="D17" i="1"/>
  <c r="D18" i="1" s="1"/>
  <c r="J11" i="1"/>
  <c r="J31" i="1" s="1"/>
  <c r="I11" i="1"/>
  <c r="I25" i="1" s="1"/>
  <c r="H11" i="1"/>
  <c r="H25" i="1" s="1"/>
  <c r="G11" i="1"/>
  <c r="G31" i="1" s="1"/>
  <c r="G32" i="1" s="1"/>
  <c r="F11" i="1"/>
  <c r="F25" i="1" s="1"/>
  <c r="E11" i="1"/>
  <c r="E25" i="1" s="1"/>
  <c r="D11" i="1"/>
  <c r="D12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I15" i="2" l="1"/>
  <c r="J19" i="2"/>
  <c r="I21" i="2"/>
  <c r="I22" i="2" s="1"/>
  <c r="D19" i="2"/>
  <c r="E19" i="2"/>
  <c r="H15" i="2"/>
  <c r="G21" i="2"/>
  <c r="G22" i="2" s="1"/>
  <c r="D32" i="2"/>
  <c r="R36" i="2"/>
  <c r="R38" i="2" s="1"/>
  <c r="H32" i="2"/>
  <c r="J21" i="2"/>
  <c r="J22" i="2" s="1"/>
  <c r="J18" i="2"/>
  <c r="D21" i="2"/>
  <c r="D22" i="2" s="1"/>
  <c r="E25" i="2"/>
  <c r="E31" i="2"/>
  <c r="F25" i="2"/>
  <c r="F31" i="2"/>
  <c r="H25" i="2"/>
  <c r="J12" i="2"/>
  <c r="G19" i="2"/>
  <c r="H21" i="2"/>
  <c r="H22" i="2" s="1"/>
  <c r="I25" i="2"/>
  <c r="I31" i="2"/>
  <c r="E21" i="2"/>
  <c r="E22" i="2" s="1"/>
  <c r="G31" i="2"/>
  <c r="F19" i="2"/>
  <c r="F21" i="2" s="1"/>
  <c r="F22" i="2" s="1"/>
  <c r="J25" i="2"/>
  <c r="J31" i="2"/>
  <c r="G25" i="2"/>
  <c r="D12" i="2"/>
  <c r="D25" i="2"/>
  <c r="G12" i="1"/>
  <c r="J32" i="1"/>
  <c r="H12" i="1"/>
  <c r="I12" i="1"/>
  <c r="F31" i="1"/>
  <c r="J12" i="1"/>
  <c r="I31" i="1"/>
  <c r="E12" i="1"/>
  <c r="F12" i="1"/>
  <c r="E19" i="1"/>
  <c r="E21" i="1" s="1"/>
  <c r="E22" i="1" s="1"/>
  <c r="I19" i="1"/>
  <c r="I21" i="1" s="1"/>
  <c r="I22" i="1" s="1"/>
  <c r="R36" i="1"/>
  <c r="R38" i="1" s="1"/>
  <c r="F19" i="1"/>
  <c r="F21" i="1" s="1"/>
  <c r="F22" i="1" s="1"/>
  <c r="J19" i="1"/>
  <c r="J21" i="1" s="1"/>
  <c r="J22" i="1" s="1"/>
  <c r="G19" i="1"/>
  <c r="G21" i="1" s="1"/>
  <c r="G22" i="1" s="1"/>
  <c r="E31" i="1"/>
  <c r="D31" i="1"/>
  <c r="D32" i="1" s="1"/>
  <c r="H19" i="1"/>
  <c r="H21" i="1" s="1"/>
  <c r="H22" i="1" s="1"/>
  <c r="H31" i="1"/>
  <c r="I18" i="1"/>
  <c r="H18" i="1"/>
  <c r="G18" i="1"/>
  <c r="F18" i="1"/>
  <c r="D19" i="1"/>
  <c r="D21" i="1" s="1"/>
  <c r="D22" i="1" s="1"/>
  <c r="D25" i="1"/>
  <c r="G25" i="1"/>
  <c r="J25" i="1"/>
  <c r="J32" i="2" l="1"/>
  <c r="J33" i="2"/>
  <c r="H33" i="2"/>
  <c r="F33" i="2"/>
  <c r="F32" i="2"/>
  <c r="G32" i="2"/>
  <c r="G33" i="2"/>
  <c r="I33" i="2"/>
  <c r="I32" i="2"/>
  <c r="E32" i="2"/>
  <c r="E33" i="2"/>
  <c r="D33" i="2"/>
  <c r="I33" i="1"/>
  <c r="I32" i="1"/>
  <c r="H32" i="1"/>
  <c r="H33" i="1"/>
  <c r="G33" i="1"/>
  <c r="F32" i="1"/>
  <c r="F33" i="1"/>
  <c r="E33" i="1"/>
  <c r="E32" i="1"/>
  <c r="J33" i="1"/>
  <c r="D33" i="1"/>
</calcChain>
</file>

<file path=xl/sharedStrings.xml><?xml version="1.0" encoding="utf-8"?>
<sst xmlns="http://schemas.openxmlformats.org/spreadsheetml/2006/main" count="188" uniqueCount="88">
  <si>
    <t>Area of discharge field</t>
  </si>
  <si>
    <t>Type of Discharge field</t>
  </si>
  <si>
    <t>Sand bed</t>
  </si>
  <si>
    <t>m2</t>
  </si>
  <si>
    <t>Treated wastewater N concentration</t>
  </si>
  <si>
    <t>g/m3</t>
  </si>
  <si>
    <t>Rainfall</t>
  </si>
  <si>
    <t>mm/year</t>
  </si>
  <si>
    <t>ET</t>
  </si>
  <si>
    <t>Application depth</t>
  </si>
  <si>
    <t>Plus net rainfall</t>
  </si>
  <si>
    <t>less ET</t>
  </si>
  <si>
    <t xml:space="preserve">Depth of </t>
  </si>
  <si>
    <t>Wastewater volume - L/day</t>
  </si>
  <si>
    <t>plus</t>
  </si>
  <si>
    <t>less</t>
  </si>
  <si>
    <t>Nitrogen - kg/year</t>
  </si>
  <si>
    <t>Wastewater volume - m3/year</t>
  </si>
  <si>
    <t>Wastewater volume - m3/year/m2</t>
  </si>
  <si>
    <t>Rainfall - m3/year</t>
  </si>
  <si>
    <t>Rainfall - m3/year/m2</t>
  </si>
  <si>
    <t>Evaotraspiration - m3/year</t>
  </si>
  <si>
    <t>Evaotraspiration - m3/year/m2</t>
  </si>
  <si>
    <t>Net rainfall</t>
  </si>
  <si>
    <t>Total volume wastewater  + rainfall - m3/year</t>
  </si>
  <si>
    <t>Total volume wastewater  + rainfall - m3/year/m2</t>
  </si>
  <si>
    <t>Nitrogen - kg/year/m2</t>
  </si>
  <si>
    <t>Application volume - m3/year</t>
  </si>
  <si>
    <t>Nitrogen concentration at bottom of LAS - g/m3</t>
  </si>
  <si>
    <t>Flow of groundwater</t>
  </si>
  <si>
    <t>Flow of input (drainage)</t>
  </si>
  <si>
    <r>
      <t>C</t>
    </r>
    <r>
      <rPr>
        <b/>
        <sz val="10"/>
        <color theme="1"/>
        <rFont val="Calibri"/>
        <family val="2"/>
        <scheme val="minor"/>
      </rPr>
      <t>n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</si>
  <si>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n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</si>
  <si>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i</t>
    </r>
  </si>
  <si>
    <r>
      <t>C</t>
    </r>
    <r>
      <rPr>
        <b/>
        <vertAlign val="subscript"/>
        <sz val="10"/>
        <color theme="1"/>
        <rFont val="Calibri"/>
        <family val="2"/>
        <scheme val="minor"/>
      </rPr>
      <t>1</t>
    </r>
  </si>
  <si>
    <t>Hydraulic conductivity (T/10)</t>
  </si>
  <si>
    <t>Mixing zone</t>
  </si>
  <si>
    <t>(z)</t>
  </si>
  <si>
    <t>Hydraulic gradient (i)</t>
  </si>
  <si>
    <t>Transmissivity</t>
  </si>
  <si>
    <t>Aquifer depth</t>
  </si>
  <si>
    <t>m</t>
  </si>
  <si>
    <t>m3</t>
  </si>
  <si>
    <t>Additional drainage</t>
  </si>
  <si>
    <t>(L * 1m * additional drainage)</t>
  </si>
  <si>
    <t>Length of LAS parallel to direction of GW flow</t>
  </si>
  <si>
    <t>mg/L</t>
  </si>
  <si>
    <t>change in N concentration</t>
  </si>
  <si>
    <t>Aquifer depth = xm, water level = y m, mixing zone = z m)</t>
  </si>
  <si>
    <t>Concentration of N in groundwater</t>
  </si>
  <si>
    <t xml:space="preserve">Concentration of N in wastewater input </t>
  </si>
  <si>
    <t>DLR</t>
  </si>
  <si>
    <t>mm/day</t>
  </si>
  <si>
    <t>Size of sand med - m2</t>
  </si>
  <si>
    <t>Ashburton Rakaia 2010 bores &lt;50m (20m/3905m)</t>
  </si>
  <si>
    <t>Marriott - Haugh</t>
  </si>
  <si>
    <t>46 McGrath Road, Ashburton</t>
  </si>
  <si>
    <t>Occupancy</t>
  </si>
  <si>
    <t>Design Occupancy</t>
  </si>
  <si>
    <t>Treatment system</t>
  </si>
  <si>
    <t>Treatment level</t>
  </si>
  <si>
    <t>Standard treatment</t>
  </si>
  <si>
    <t>Land application system</t>
  </si>
  <si>
    <t>Sand bed (600mm)</t>
  </si>
  <si>
    <t>Land area</t>
  </si>
  <si>
    <t>Calculation of Nitrogen concentration in groundwater after mixing</t>
  </si>
  <si>
    <t>Bores for Transmissivity</t>
  </si>
  <si>
    <t>L37/0720</t>
  </si>
  <si>
    <t>L37/0030</t>
  </si>
  <si>
    <t>L37/1264</t>
  </si>
  <si>
    <t>L37/1171</t>
  </si>
  <si>
    <t>BY21/0376</t>
  </si>
  <si>
    <t>Geomean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</si>
  <si>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</si>
  <si>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GW flow over year</t>
  </si>
  <si>
    <t>Annual drainage through LAS</t>
  </si>
  <si>
    <t>N Concentration of output</t>
  </si>
  <si>
    <t>N concentration of drainage miced with groundwater</t>
  </si>
  <si>
    <t>Oasis Series 2000 or similar</t>
  </si>
  <si>
    <t>Design wastewater volume</t>
  </si>
  <si>
    <t>1400 L/day</t>
  </si>
  <si>
    <t>Drainage from wastewater applied to LAS - see calculation</t>
  </si>
  <si>
    <t>Geomean of aquifer tests in surrounding bores (see calculation)</t>
  </si>
  <si>
    <t>Nitrogen concentration in groundwater after mixing</t>
  </si>
  <si>
    <t>Calculation Co = (CiQn + CnQn)/(Qi + Qn) - Note 1</t>
  </si>
  <si>
    <t>Note 1: Ecan document - GUIDELINES FOR DETERMINING SIGNIFICANCE OF ENVIRONMENTAL IMPACTS RESULTING FROM USE OF WATER FOR IRRIGATION</t>
  </si>
  <si>
    <t>Dripline</t>
  </si>
  <si>
    <t>Dripline (300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</si>
</sst>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CD74-6D14-4ACC-9F0D-D5A6D69EDAE0}">
  <sheetPr>
    <pageSetUpPr fitToPage="1"/>
  </sheetPr>
  <dimension ref="A2:X51"/>
  <sheetViews>
    <sheetView workbookViewId="0">
      <selection activeCell="P56" sqref="P56"/>
    </sheetView>
  </sheetViews>
  <sheetFormatPr defaultRowHeight="13.8" x14ac:dyDescent="0.3"/>
  <cols>
    <col min="3" max="3" width="32" customWidth="1"/>
    <col min="14" max="14" width="15.109375" customWidth="1"/>
    <col min="17" max="17" width="12.6640625" customWidth="1"/>
  </cols>
  <sheetData>
    <row r="2" spans="1:20" x14ac:dyDescent="0.3">
      <c r="A2" t="s">
        <v>1</v>
      </c>
      <c r="D2" t="s">
        <v>2</v>
      </c>
    </row>
    <row r="3" spans="1:20" ht="18" x14ac:dyDescent="0.35">
      <c r="A3" t="s">
        <v>0</v>
      </c>
      <c r="D3">
        <v>28</v>
      </c>
      <c r="E3" t="s">
        <v>3</v>
      </c>
      <c r="N3" s="4" t="s">
        <v>83</v>
      </c>
      <c r="O3" s="5"/>
      <c r="P3" s="5"/>
    </row>
    <row r="4" spans="1:20" ht="14.4" x14ac:dyDescent="0.3">
      <c r="A4" t="s">
        <v>4</v>
      </c>
      <c r="D4">
        <v>15</v>
      </c>
      <c r="E4" t="s">
        <v>5</v>
      </c>
      <c r="N4" s="5"/>
      <c r="O4" s="5"/>
      <c r="P4" s="5"/>
    </row>
    <row r="5" spans="1:20" ht="14.4" x14ac:dyDescent="0.3">
      <c r="A5" t="s">
        <v>6</v>
      </c>
      <c r="D5">
        <v>700</v>
      </c>
      <c r="E5" t="s">
        <v>7</v>
      </c>
      <c r="N5" s="5" t="s">
        <v>55</v>
      </c>
      <c r="O5" s="5"/>
      <c r="P5" s="5"/>
    </row>
    <row r="6" spans="1:20" ht="14.4" x14ac:dyDescent="0.3">
      <c r="A6" t="s">
        <v>8</v>
      </c>
      <c r="D6">
        <v>850</v>
      </c>
      <c r="E6" t="s">
        <v>7</v>
      </c>
      <c r="N6" s="5" t="s">
        <v>56</v>
      </c>
      <c r="O6" s="5"/>
      <c r="P6" s="5"/>
    </row>
    <row r="7" spans="1:20" ht="14.4" x14ac:dyDescent="0.3">
      <c r="A7" t="s">
        <v>51</v>
      </c>
      <c r="D7">
        <v>50</v>
      </c>
      <c r="E7" t="s">
        <v>52</v>
      </c>
      <c r="N7" s="5"/>
      <c r="O7" s="5"/>
      <c r="P7" s="5"/>
    </row>
    <row r="8" spans="1:20" ht="14.4" x14ac:dyDescent="0.3">
      <c r="N8" s="6" t="s">
        <v>57</v>
      </c>
      <c r="Q8" s="5" t="s">
        <v>58</v>
      </c>
      <c r="R8" s="5"/>
    </row>
    <row r="9" spans="1:20" ht="14.4" x14ac:dyDescent="0.3">
      <c r="A9" t="s">
        <v>53</v>
      </c>
      <c r="D9">
        <f t="shared" ref="D9:J9" si="0">D10/$D$7</f>
        <v>32</v>
      </c>
      <c r="E9">
        <f t="shared" si="0"/>
        <v>28</v>
      </c>
      <c r="F9">
        <f t="shared" si="0"/>
        <v>24</v>
      </c>
      <c r="G9">
        <f t="shared" si="0"/>
        <v>20</v>
      </c>
      <c r="H9">
        <f t="shared" si="0"/>
        <v>16</v>
      </c>
      <c r="I9">
        <f t="shared" si="0"/>
        <v>12</v>
      </c>
      <c r="J9">
        <f t="shared" si="0"/>
        <v>8</v>
      </c>
      <c r="N9" s="6" t="s">
        <v>79</v>
      </c>
      <c r="Q9" t="s">
        <v>80</v>
      </c>
    </row>
    <row r="10" spans="1:20" ht="14.4" x14ac:dyDescent="0.3">
      <c r="A10" t="s">
        <v>13</v>
      </c>
      <c r="D10">
        <v>1600</v>
      </c>
      <c r="E10">
        <v>1400</v>
      </c>
      <c r="F10">
        <v>1200</v>
      </c>
      <c r="G10">
        <v>1000</v>
      </c>
      <c r="H10">
        <v>800</v>
      </c>
      <c r="I10">
        <v>600</v>
      </c>
      <c r="J10">
        <v>400</v>
      </c>
      <c r="N10" s="6" t="s">
        <v>59</v>
      </c>
      <c r="Q10" s="5" t="s">
        <v>78</v>
      </c>
      <c r="R10" s="5"/>
    </row>
    <row r="11" spans="1:20" ht="14.4" x14ac:dyDescent="0.3">
      <c r="A11" t="s">
        <v>17</v>
      </c>
      <c r="D11">
        <f t="shared" ref="D11:J11" si="1">D10*365/1000</f>
        <v>584</v>
      </c>
      <c r="E11">
        <f t="shared" si="1"/>
        <v>511</v>
      </c>
      <c r="F11">
        <f t="shared" si="1"/>
        <v>438</v>
      </c>
      <c r="G11">
        <f t="shared" si="1"/>
        <v>365</v>
      </c>
      <c r="H11">
        <f t="shared" si="1"/>
        <v>292</v>
      </c>
      <c r="I11">
        <f t="shared" si="1"/>
        <v>219</v>
      </c>
      <c r="J11">
        <f t="shared" si="1"/>
        <v>146</v>
      </c>
      <c r="N11" s="6" t="s">
        <v>60</v>
      </c>
      <c r="Q11" s="5" t="s">
        <v>61</v>
      </c>
      <c r="R11" s="5"/>
    </row>
    <row r="12" spans="1:20" ht="14.4" x14ac:dyDescent="0.3">
      <c r="A12" t="s">
        <v>18</v>
      </c>
      <c r="D12" s="1">
        <f t="shared" ref="D12:J12" si="2">D11/$D$3</f>
        <v>20.857142857142858</v>
      </c>
      <c r="E12" s="1">
        <f t="shared" si="2"/>
        <v>18.25</v>
      </c>
      <c r="F12" s="1">
        <f t="shared" si="2"/>
        <v>15.642857142857142</v>
      </c>
      <c r="G12" s="1">
        <f t="shared" si="2"/>
        <v>13.035714285714286</v>
      </c>
      <c r="H12" s="1">
        <f t="shared" si="2"/>
        <v>10.428571428571429</v>
      </c>
      <c r="I12" s="1">
        <f t="shared" si="2"/>
        <v>7.8214285714285712</v>
      </c>
      <c r="J12" s="1">
        <f t="shared" si="2"/>
        <v>5.2142857142857144</v>
      </c>
      <c r="N12" s="6" t="s">
        <v>62</v>
      </c>
      <c r="Q12" s="5" t="s">
        <v>63</v>
      </c>
      <c r="R12" s="5"/>
    </row>
    <row r="13" spans="1:20" ht="14.4" x14ac:dyDescent="0.3">
      <c r="A13" t="s">
        <v>14</v>
      </c>
      <c r="N13" s="6" t="s">
        <v>64</v>
      </c>
      <c r="Q13" s="7">
        <v>5000</v>
      </c>
      <c r="R13" s="5" t="s">
        <v>3</v>
      </c>
    </row>
    <row r="14" spans="1:20" x14ac:dyDescent="0.3">
      <c r="A14" t="s">
        <v>19</v>
      </c>
      <c r="D14">
        <f t="shared" ref="D14:J14" si="3">$D$3*$D$5/1000</f>
        <v>19.600000000000001</v>
      </c>
      <c r="E14">
        <f t="shared" si="3"/>
        <v>19.600000000000001</v>
      </c>
      <c r="F14">
        <f t="shared" si="3"/>
        <v>19.600000000000001</v>
      </c>
      <c r="G14">
        <f t="shared" si="3"/>
        <v>19.600000000000001</v>
      </c>
      <c r="H14">
        <f t="shared" si="3"/>
        <v>19.600000000000001</v>
      </c>
      <c r="I14">
        <f t="shared" si="3"/>
        <v>19.600000000000001</v>
      </c>
      <c r="J14">
        <f t="shared" si="3"/>
        <v>19.600000000000001</v>
      </c>
    </row>
    <row r="15" spans="1:20" ht="14.4" x14ac:dyDescent="0.3">
      <c r="A15" t="s">
        <v>20</v>
      </c>
      <c r="D15">
        <f t="shared" ref="D15:J15" si="4">D14/$D$3</f>
        <v>0.70000000000000007</v>
      </c>
      <c r="E15">
        <f t="shared" si="4"/>
        <v>0.70000000000000007</v>
      </c>
      <c r="F15">
        <f t="shared" si="4"/>
        <v>0.70000000000000007</v>
      </c>
      <c r="G15">
        <f t="shared" si="4"/>
        <v>0.70000000000000007</v>
      </c>
      <c r="H15">
        <f t="shared" si="4"/>
        <v>0.70000000000000007</v>
      </c>
      <c r="I15">
        <f t="shared" si="4"/>
        <v>0.70000000000000007</v>
      </c>
      <c r="J15">
        <f t="shared" si="4"/>
        <v>0.70000000000000007</v>
      </c>
      <c r="N15" s="6" t="s">
        <v>65</v>
      </c>
      <c r="T15" t="s">
        <v>84</v>
      </c>
    </row>
    <row r="16" spans="1:20" x14ac:dyDescent="0.3">
      <c r="A16" t="s">
        <v>15</v>
      </c>
    </row>
    <row r="17" spans="1:20" x14ac:dyDescent="0.3">
      <c r="A17" t="s">
        <v>21</v>
      </c>
      <c r="D17">
        <f t="shared" ref="D17:J17" si="5">-$D$3*$D$6/1000</f>
        <v>-23.8</v>
      </c>
      <c r="E17">
        <f t="shared" si="5"/>
        <v>-23.8</v>
      </c>
      <c r="F17">
        <f t="shared" si="5"/>
        <v>-23.8</v>
      </c>
      <c r="G17">
        <f t="shared" si="5"/>
        <v>-23.8</v>
      </c>
      <c r="H17">
        <f t="shared" si="5"/>
        <v>-23.8</v>
      </c>
      <c r="I17">
        <f t="shared" si="5"/>
        <v>-23.8</v>
      </c>
      <c r="J17">
        <f t="shared" si="5"/>
        <v>-23.8</v>
      </c>
      <c r="N17" t="s">
        <v>49</v>
      </c>
      <c r="Q17" t="s">
        <v>31</v>
      </c>
      <c r="R17">
        <v>7.5</v>
      </c>
      <c r="S17" t="s">
        <v>46</v>
      </c>
    </row>
    <row r="18" spans="1:20" ht="15" x14ac:dyDescent="0.35">
      <c r="A18" t="s">
        <v>22</v>
      </c>
      <c r="D18">
        <f t="shared" ref="D18:J18" si="6">D17/$D$3</f>
        <v>-0.85</v>
      </c>
      <c r="E18">
        <f t="shared" si="6"/>
        <v>-0.85</v>
      </c>
      <c r="F18">
        <f t="shared" si="6"/>
        <v>-0.85</v>
      </c>
      <c r="G18">
        <f t="shared" si="6"/>
        <v>-0.85</v>
      </c>
      <c r="H18">
        <f t="shared" si="6"/>
        <v>-0.85</v>
      </c>
      <c r="I18">
        <f t="shared" si="6"/>
        <v>-0.85</v>
      </c>
      <c r="J18">
        <f t="shared" si="6"/>
        <v>-0.85</v>
      </c>
      <c r="N18" t="s">
        <v>50</v>
      </c>
      <c r="Q18" t="s">
        <v>34</v>
      </c>
      <c r="R18">
        <v>10.9</v>
      </c>
      <c r="S18" t="s">
        <v>46</v>
      </c>
    </row>
    <row r="19" spans="1:20" x14ac:dyDescent="0.3">
      <c r="A19" t="s">
        <v>23</v>
      </c>
      <c r="D19">
        <f t="shared" ref="D19:J19" si="7">D14+D17</f>
        <v>-4.1999999999999993</v>
      </c>
      <c r="E19">
        <f t="shared" si="7"/>
        <v>-4.1999999999999993</v>
      </c>
      <c r="F19">
        <f t="shared" si="7"/>
        <v>-4.1999999999999993</v>
      </c>
      <c r="G19">
        <f t="shared" si="7"/>
        <v>-4.1999999999999993</v>
      </c>
      <c r="H19">
        <f t="shared" si="7"/>
        <v>-4.1999999999999993</v>
      </c>
      <c r="I19">
        <f t="shared" si="7"/>
        <v>-4.1999999999999993</v>
      </c>
      <c r="J19">
        <f t="shared" si="7"/>
        <v>-4.1999999999999993</v>
      </c>
    </row>
    <row r="20" spans="1:20" x14ac:dyDescent="0.3">
      <c r="N20" t="s">
        <v>29</v>
      </c>
    </row>
    <row r="21" spans="1:20" x14ac:dyDescent="0.3">
      <c r="A21" t="s">
        <v>24</v>
      </c>
      <c r="D21">
        <f t="shared" ref="D21:J21" si="8">D11+D19</f>
        <v>579.79999999999995</v>
      </c>
      <c r="E21">
        <f t="shared" si="8"/>
        <v>506.8</v>
      </c>
      <c r="F21">
        <f t="shared" si="8"/>
        <v>433.8</v>
      </c>
      <c r="G21">
        <f t="shared" si="8"/>
        <v>360.8</v>
      </c>
      <c r="H21">
        <f t="shared" si="8"/>
        <v>287.8</v>
      </c>
      <c r="I21">
        <f t="shared" si="8"/>
        <v>214.8</v>
      </c>
      <c r="J21">
        <f t="shared" si="8"/>
        <v>141.80000000000001</v>
      </c>
      <c r="N21" s="2" t="s">
        <v>39</v>
      </c>
      <c r="R21">
        <v>4180</v>
      </c>
      <c r="T21" t="s">
        <v>82</v>
      </c>
    </row>
    <row r="22" spans="1:20" x14ac:dyDescent="0.3">
      <c r="A22" t="s">
        <v>25</v>
      </c>
      <c r="D22" s="1">
        <f t="shared" ref="D22:J22" si="9">D21/$D$3</f>
        <v>20.707142857142856</v>
      </c>
      <c r="E22" s="1">
        <f t="shared" si="9"/>
        <v>18.100000000000001</v>
      </c>
      <c r="F22" s="1">
        <f t="shared" si="9"/>
        <v>15.492857142857144</v>
      </c>
      <c r="G22" s="1">
        <f t="shared" si="9"/>
        <v>12.885714285714286</v>
      </c>
      <c r="H22" s="1">
        <f t="shared" si="9"/>
        <v>10.278571428571428</v>
      </c>
      <c r="I22" s="1">
        <f t="shared" si="9"/>
        <v>7.6714285714285717</v>
      </c>
      <c r="J22" s="1">
        <f t="shared" si="9"/>
        <v>5.0642857142857149</v>
      </c>
      <c r="N22" s="2" t="s">
        <v>40</v>
      </c>
      <c r="R22">
        <v>30</v>
      </c>
      <c r="S22" t="s">
        <v>41</v>
      </c>
    </row>
    <row r="23" spans="1:20" x14ac:dyDescent="0.3">
      <c r="D23" s="1"/>
      <c r="N23" s="2" t="s">
        <v>35</v>
      </c>
      <c r="R23" s="3">
        <f>R21/R22</f>
        <v>139.33333333333334</v>
      </c>
    </row>
    <row r="24" spans="1:20" x14ac:dyDescent="0.3">
      <c r="A24" t="s">
        <v>27</v>
      </c>
      <c r="N24" s="2" t="s">
        <v>36</v>
      </c>
      <c r="P24" t="s">
        <v>37</v>
      </c>
      <c r="R24">
        <v>15</v>
      </c>
      <c r="S24" t="s">
        <v>41</v>
      </c>
      <c r="T24" t="s">
        <v>48</v>
      </c>
    </row>
    <row r="25" spans="1:20" x14ac:dyDescent="0.3">
      <c r="A25" t="s">
        <v>9</v>
      </c>
      <c r="D25">
        <f t="shared" ref="D25:J25" si="10">D11/$D$3</f>
        <v>20.857142857142858</v>
      </c>
      <c r="E25">
        <f t="shared" si="10"/>
        <v>18.25</v>
      </c>
      <c r="F25">
        <f t="shared" si="10"/>
        <v>15.642857142857142</v>
      </c>
      <c r="G25">
        <f t="shared" si="10"/>
        <v>13.035714285714286</v>
      </c>
      <c r="H25">
        <f t="shared" si="10"/>
        <v>10.428571428571429</v>
      </c>
      <c r="I25">
        <f t="shared" si="10"/>
        <v>7.8214285714285712</v>
      </c>
      <c r="J25">
        <f t="shared" si="10"/>
        <v>5.2142857142857144</v>
      </c>
      <c r="N25" s="2" t="s">
        <v>38</v>
      </c>
      <c r="R25">
        <v>5.0000000000000001E-3</v>
      </c>
      <c r="T25" t="s">
        <v>54</v>
      </c>
    </row>
    <row r="26" spans="1:20" x14ac:dyDescent="0.3">
      <c r="A26" t="s">
        <v>10</v>
      </c>
      <c r="N26" s="2"/>
    </row>
    <row r="27" spans="1:20" ht="15.6" x14ac:dyDescent="0.35">
      <c r="A27" t="s">
        <v>11</v>
      </c>
      <c r="N27" s="2" t="s">
        <v>32</v>
      </c>
      <c r="R27">
        <f>R23*R24*R25*365</f>
        <v>3814.2500000000005</v>
      </c>
      <c r="S27" t="s">
        <v>73</v>
      </c>
      <c r="T27" t="s">
        <v>74</v>
      </c>
    </row>
    <row r="28" spans="1:20" x14ac:dyDescent="0.3">
      <c r="A28" t="s">
        <v>12</v>
      </c>
    </row>
    <row r="29" spans="1:20" x14ac:dyDescent="0.3">
      <c r="N29" t="s">
        <v>30</v>
      </c>
    </row>
    <row r="30" spans="1:20" x14ac:dyDescent="0.3">
      <c r="N30" s="2" t="s">
        <v>45</v>
      </c>
      <c r="R30">
        <v>1.8</v>
      </c>
      <c r="S30" t="s">
        <v>41</v>
      </c>
    </row>
    <row r="31" spans="1:20" x14ac:dyDescent="0.3">
      <c r="A31" t="s">
        <v>16</v>
      </c>
      <c r="D31">
        <f t="shared" ref="D31:J31" si="11">D11*$D$4/1000</f>
        <v>8.76</v>
      </c>
      <c r="E31">
        <f t="shared" si="11"/>
        <v>7.665</v>
      </c>
      <c r="F31">
        <f t="shared" si="11"/>
        <v>6.57</v>
      </c>
      <c r="G31">
        <f t="shared" si="11"/>
        <v>5.4749999999999996</v>
      </c>
      <c r="H31">
        <f t="shared" si="11"/>
        <v>4.38</v>
      </c>
      <c r="I31">
        <f t="shared" si="11"/>
        <v>3.2850000000000001</v>
      </c>
      <c r="J31">
        <f t="shared" si="11"/>
        <v>2.19</v>
      </c>
      <c r="N31" s="2" t="s">
        <v>43</v>
      </c>
      <c r="R31">
        <v>18.25</v>
      </c>
      <c r="S31" t="s">
        <v>41</v>
      </c>
      <c r="T31" t="s">
        <v>81</v>
      </c>
    </row>
    <row r="32" spans="1:20" x14ac:dyDescent="0.3">
      <c r="A32" t="s">
        <v>26</v>
      </c>
      <c r="D32" s="1">
        <f t="shared" ref="D32:J32" si="12">D31/$D$3</f>
        <v>0.31285714285714283</v>
      </c>
      <c r="E32" s="1">
        <f t="shared" si="12"/>
        <v>0.27374999999999999</v>
      </c>
      <c r="F32" s="1">
        <f t="shared" si="12"/>
        <v>0.23464285714285715</v>
      </c>
      <c r="G32" s="1">
        <f t="shared" si="12"/>
        <v>0.19553571428571428</v>
      </c>
      <c r="H32" s="1">
        <f t="shared" si="12"/>
        <v>0.15642857142857142</v>
      </c>
      <c r="I32" s="1">
        <f t="shared" si="12"/>
        <v>0.11732142857142858</v>
      </c>
      <c r="J32" s="1">
        <f t="shared" si="12"/>
        <v>7.8214285714285708E-2</v>
      </c>
      <c r="N32" s="2"/>
    </row>
    <row r="33" spans="1:20" ht="15" x14ac:dyDescent="0.35">
      <c r="A33" t="s">
        <v>28</v>
      </c>
      <c r="D33" s="1">
        <f t="shared" ref="D33:J33" si="13">(D31*1000)/D21</f>
        <v>15.108658157985513</v>
      </c>
      <c r="E33" s="1">
        <f t="shared" si="13"/>
        <v>15.124309392265193</v>
      </c>
      <c r="F33" s="1">
        <f t="shared" si="13"/>
        <v>15.145228215767634</v>
      </c>
      <c r="G33" s="1">
        <f t="shared" si="13"/>
        <v>15.17461197339246</v>
      </c>
      <c r="H33" s="1">
        <f t="shared" si="13"/>
        <v>15.218902015288394</v>
      </c>
      <c r="I33" s="1">
        <f t="shared" si="13"/>
        <v>15.293296089385475</v>
      </c>
      <c r="J33" s="1">
        <f t="shared" si="13"/>
        <v>15.44428772919605</v>
      </c>
      <c r="N33" s="2" t="s">
        <v>33</v>
      </c>
      <c r="O33" t="s">
        <v>44</v>
      </c>
      <c r="R33">
        <f>R30*1*R31</f>
        <v>32.85</v>
      </c>
      <c r="S33" t="s">
        <v>42</v>
      </c>
      <c r="T33" t="s">
        <v>75</v>
      </c>
    </row>
    <row r="36" spans="1:20" x14ac:dyDescent="0.3">
      <c r="N36" t="s">
        <v>76</v>
      </c>
      <c r="R36" s="1">
        <f>((R18*R33)+(R27*R17))/(R33+R27)</f>
        <v>7.5290322580645164</v>
      </c>
      <c r="S36" t="s">
        <v>46</v>
      </c>
      <c r="T36" t="s">
        <v>77</v>
      </c>
    </row>
    <row r="38" spans="1:20" x14ac:dyDescent="0.3">
      <c r="N38" t="s">
        <v>47</v>
      </c>
      <c r="R38" s="1">
        <f>R36-R17</f>
        <v>2.903225806451637E-2</v>
      </c>
      <c r="S38" t="s">
        <v>46</v>
      </c>
    </row>
    <row r="41" spans="1:20" x14ac:dyDescent="0.3">
      <c r="N41" t="s">
        <v>66</v>
      </c>
    </row>
    <row r="42" spans="1:20" x14ac:dyDescent="0.3">
      <c r="N42" t="s">
        <v>67</v>
      </c>
      <c r="O42">
        <v>41.2</v>
      </c>
      <c r="P42">
        <v>9000</v>
      </c>
    </row>
    <row r="43" spans="1:20" x14ac:dyDescent="0.3">
      <c r="N43" t="s">
        <v>68</v>
      </c>
      <c r="O43">
        <v>38.700000000000003</v>
      </c>
      <c r="P43">
        <v>8500</v>
      </c>
    </row>
    <row r="44" spans="1:20" x14ac:dyDescent="0.3">
      <c r="N44" t="s">
        <v>69</v>
      </c>
      <c r="O44">
        <v>40.299999999999997</v>
      </c>
      <c r="P44">
        <v>1800</v>
      </c>
    </row>
    <row r="45" spans="1:20" x14ac:dyDescent="0.3">
      <c r="N45" t="s">
        <v>70</v>
      </c>
      <c r="O45">
        <v>30</v>
      </c>
      <c r="P45">
        <v>1600</v>
      </c>
    </row>
    <row r="46" spans="1:20" x14ac:dyDescent="0.3">
      <c r="N46" t="s">
        <v>71</v>
      </c>
      <c r="O46">
        <v>33</v>
      </c>
      <c r="P46">
        <v>5798</v>
      </c>
    </row>
    <row r="48" spans="1:20" x14ac:dyDescent="0.3">
      <c r="N48" t="s">
        <v>72</v>
      </c>
      <c r="P48">
        <f>GEOMEAN(P42:P46)</f>
        <v>4180.8677182693928</v>
      </c>
    </row>
    <row r="51" spans="14:24" ht="36" customHeight="1" x14ac:dyDescent="0.3">
      <c r="N51" s="8" t="s">
        <v>85</v>
      </c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mergeCells count="1">
    <mergeCell ref="N51:X51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5EBE-FD7C-4A18-88DB-C0F6E438D5D6}">
  <sheetPr>
    <pageSetUpPr fitToPage="1"/>
  </sheetPr>
  <dimension ref="A2:X51"/>
  <sheetViews>
    <sheetView tabSelected="1" workbookViewId="0">
      <selection activeCell="Q13" sqref="Q13"/>
    </sheetView>
  </sheetViews>
  <sheetFormatPr defaultRowHeight="13.8" x14ac:dyDescent="0.3"/>
  <cols>
    <col min="3" max="3" width="32" customWidth="1"/>
    <col min="14" max="14" width="15.109375" customWidth="1"/>
    <col min="17" max="17" width="12.6640625" customWidth="1"/>
  </cols>
  <sheetData>
    <row r="2" spans="1:20" x14ac:dyDescent="0.3">
      <c r="A2" t="s">
        <v>1</v>
      </c>
      <c r="D2" t="s">
        <v>86</v>
      </c>
    </row>
    <row r="3" spans="1:20" ht="18" x14ac:dyDescent="0.35">
      <c r="A3" t="s">
        <v>0</v>
      </c>
      <c r="D3">
        <v>350</v>
      </c>
      <c r="E3" t="s">
        <v>3</v>
      </c>
      <c r="N3" s="4" t="s">
        <v>83</v>
      </c>
      <c r="O3" s="5"/>
      <c r="P3" s="5"/>
    </row>
    <row r="4" spans="1:20" ht="14.4" x14ac:dyDescent="0.3">
      <c r="A4" t="s">
        <v>4</v>
      </c>
      <c r="D4">
        <v>15</v>
      </c>
      <c r="E4" t="s">
        <v>5</v>
      </c>
      <c r="N4" s="5"/>
      <c r="O4" s="5"/>
      <c r="P4" s="5"/>
    </row>
    <row r="5" spans="1:20" ht="14.4" x14ac:dyDescent="0.3">
      <c r="A5" t="s">
        <v>6</v>
      </c>
      <c r="D5">
        <v>700</v>
      </c>
      <c r="E5" t="s">
        <v>7</v>
      </c>
      <c r="N5" s="5" t="s">
        <v>55</v>
      </c>
      <c r="O5" s="5"/>
      <c r="P5" s="5"/>
    </row>
    <row r="6" spans="1:20" ht="14.4" x14ac:dyDescent="0.3">
      <c r="A6" t="s">
        <v>8</v>
      </c>
      <c r="D6">
        <v>850</v>
      </c>
      <c r="E6" t="s">
        <v>7</v>
      </c>
      <c r="N6" s="5" t="s">
        <v>56</v>
      </c>
      <c r="O6" s="5"/>
      <c r="P6" s="5"/>
    </row>
    <row r="7" spans="1:20" ht="14.4" x14ac:dyDescent="0.3">
      <c r="A7" t="s">
        <v>51</v>
      </c>
      <c r="D7">
        <v>4</v>
      </c>
      <c r="E7" t="s">
        <v>52</v>
      </c>
      <c r="N7" s="5"/>
      <c r="O7" s="5"/>
      <c r="P7" s="5"/>
    </row>
    <row r="8" spans="1:20" ht="14.4" x14ac:dyDescent="0.3">
      <c r="N8" s="6" t="s">
        <v>57</v>
      </c>
      <c r="Q8" s="5" t="s">
        <v>58</v>
      </c>
      <c r="R8" s="5"/>
    </row>
    <row r="9" spans="1:20" ht="14.4" x14ac:dyDescent="0.3">
      <c r="A9" t="s">
        <v>53</v>
      </c>
      <c r="D9">
        <f t="shared" ref="D9:J9" si="0">D10/$D$7</f>
        <v>400</v>
      </c>
      <c r="E9">
        <f t="shared" si="0"/>
        <v>350</v>
      </c>
      <c r="F9">
        <f t="shared" si="0"/>
        <v>300</v>
      </c>
      <c r="G9">
        <f t="shared" si="0"/>
        <v>250</v>
      </c>
      <c r="H9">
        <f t="shared" si="0"/>
        <v>200</v>
      </c>
      <c r="I9">
        <f t="shared" si="0"/>
        <v>150</v>
      </c>
      <c r="J9">
        <f t="shared" si="0"/>
        <v>100</v>
      </c>
      <c r="N9" s="6" t="s">
        <v>79</v>
      </c>
      <c r="Q9" t="s">
        <v>80</v>
      </c>
    </row>
    <row r="10" spans="1:20" ht="14.4" x14ac:dyDescent="0.3">
      <c r="A10" t="s">
        <v>13</v>
      </c>
      <c r="D10">
        <v>1600</v>
      </c>
      <c r="E10">
        <v>1400</v>
      </c>
      <c r="F10">
        <v>1200</v>
      </c>
      <c r="G10">
        <v>1000</v>
      </c>
      <c r="H10">
        <v>800</v>
      </c>
      <c r="I10">
        <v>600</v>
      </c>
      <c r="J10">
        <v>400</v>
      </c>
      <c r="N10" s="6" t="s">
        <v>59</v>
      </c>
      <c r="Q10" s="5" t="s">
        <v>78</v>
      </c>
      <c r="R10" s="5"/>
    </row>
    <row r="11" spans="1:20" ht="14.4" x14ac:dyDescent="0.3">
      <c r="A11" t="s">
        <v>17</v>
      </c>
      <c r="D11">
        <f t="shared" ref="D11:J11" si="1">D10*365/1000</f>
        <v>584</v>
      </c>
      <c r="E11">
        <f t="shared" si="1"/>
        <v>511</v>
      </c>
      <c r="F11">
        <f t="shared" si="1"/>
        <v>438</v>
      </c>
      <c r="G11">
        <f t="shared" si="1"/>
        <v>365</v>
      </c>
      <c r="H11">
        <f t="shared" si="1"/>
        <v>292</v>
      </c>
      <c r="I11">
        <f t="shared" si="1"/>
        <v>219</v>
      </c>
      <c r="J11">
        <f t="shared" si="1"/>
        <v>146</v>
      </c>
      <c r="N11" s="6" t="s">
        <v>60</v>
      </c>
      <c r="Q11" s="5" t="s">
        <v>61</v>
      </c>
      <c r="R11" s="5"/>
    </row>
    <row r="12" spans="1:20" ht="14.4" x14ac:dyDescent="0.3">
      <c r="A12" t="s">
        <v>18</v>
      </c>
      <c r="D12" s="1">
        <f t="shared" ref="D12:J12" si="2">D11/$D$3</f>
        <v>1.6685714285714286</v>
      </c>
      <c r="E12" s="1">
        <f t="shared" si="2"/>
        <v>1.46</v>
      </c>
      <c r="F12" s="1">
        <f t="shared" si="2"/>
        <v>1.2514285714285713</v>
      </c>
      <c r="G12" s="1">
        <f t="shared" si="2"/>
        <v>1.0428571428571429</v>
      </c>
      <c r="H12" s="1">
        <f t="shared" si="2"/>
        <v>0.8342857142857143</v>
      </c>
      <c r="I12" s="1">
        <f t="shared" si="2"/>
        <v>0.62571428571428567</v>
      </c>
      <c r="J12" s="1">
        <f t="shared" si="2"/>
        <v>0.41714285714285715</v>
      </c>
      <c r="N12" s="6" t="s">
        <v>62</v>
      </c>
      <c r="Q12" s="5" t="s">
        <v>87</v>
      </c>
      <c r="R12" s="5"/>
    </row>
    <row r="13" spans="1:20" ht="14.4" x14ac:dyDescent="0.3">
      <c r="A13" t="s">
        <v>14</v>
      </c>
      <c r="N13" s="6" t="s">
        <v>64</v>
      </c>
      <c r="Q13" s="7">
        <v>5000</v>
      </c>
      <c r="R13" s="5" t="s">
        <v>3</v>
      </c>
    </row>
    <row r="14" spans="1:20" x14ac:dyDescent="0.3">
      <c r="A14" t="s">
        <v>19</v>
      </c>
      <c r="D14">
        <f t="shared" ref="D14:J14" si="3">$D$3*$D$5/1000</f>
        <v>245</v>
      </c>
      <c r="E14">
        <f t="shared" si="3"/>
        <v>245</v>
      </c>
      <c r="F14">
        <f t="shared" si="3"/>
        <v>245</v>
      </c>
      <c r="G14">
        <f t="shared" si="3"/>
        <v>245</v>
      </c>
      <c r="H14">
        <f t="shared" si="3"/>
        <v>245</v>
      </c>
      <c r="I14">
        <f t="shared" si="3"/>
        <v>245</v>
      </c>
      <c r="J14">
        <f t="shared" si="3"/>
        <v>245</v>
      </c>
    </row>
    <row r="15" spans="1:20" ht="14.4" x14ac:dyDescent="0.3">
      <c r="A15" t="s">
        <v>20</v>
      </c>
      <c r="D15">
        <f t="shared" ref="D15:J15" si="4">D14/$D$3</f>
        <v>0.7</v>
      </c>
      <c r="E15">
        <f t="shared" si="4"/>
        <v>0.7</v>
      </c>
      <c r="F15">
        <f t="shared" si="4"/>
        <v>0.7</v>
      </c>
      <c r="G15">
        <f t="shared" si="4"/>
        <v>0.7</v>
      </c>
      <c r="H15">
        <f t="shared" si="4"/>
        <v>0.7</v>
      </c>
      <c r="I15">
        <f t="shared" si="4"/>
        <v>0.7</v>
      </c>
      <c r="J15">
        <f t="shared" si="4"/>
        <v>0.7</v>
      </c>
      <c r="N15" s="6" t="s">
        <v>65</v>
      </c>
      <c r="T15" t="s">
        <v>84</v>
      </c>
    </row>
    <row r="16" spans="1:20" x14ac:dyDescent="0.3">
      <c r="A16" t="s">
        <v>15</v>
      </c>
    </row>
    <row r="17" spans="1:20" x14ac:dyDescent="0.3">
      <c r="A17" t="s">
        <v>21</v>
      </c>
      <c r="D17">
        <f t="shared" ref="D17:J17" si="5">-$D$3*$D$6/1000</f>
        <v>-297.5</v>
      </c>
      <c r="E17">
        <f t="shared" si="5"/>
        <v>-297.5</v>
      </c>
      <c r="F17">
        <f t="shared" si="5"/>
        <v>-297.5</v>
      </c>
      <c r="G17">
        <f t="shared" si="5"/>
        <v>-297.5</v>
      </c>
      <c r="H17">
        <f t="shared" si="5"/>
        <v>-297.5</v>
      </c>
      <c r="I17">
        <f t="shared" si="5"/>
        <v>-297.5</v>
      </c>
      <c r="J17">
        <f t="shared" si="5"/>
        <v>-297.5</v>
      </c>
      <c r="N17" t="s">
        <v>49</v>
      </c>
      <c r="Q17" t="s">
        <v>31</v>
      </c>
      <c r="R17">
        <v>7.5</v>
      </c>
      <c r="S17" t="s">
        <v>46</v>
      </c>
    </row>
    <row r="18" spans="1:20" ht="15" x14ac:dyDescent="0.35">
      <c r="A18" t="s">
        <v>22</v>
      </c>
      <c r="D18">
        <f t="shared" ref="D18:J18" si="6">D17/$D$3</f>
        <v>-0.85</v>
      </c>
      <c r="E18">
        <f t="shared" si="6"/>
        <v>-0.85</v>
      </c>
      <c r="F18">
        <f t="shared" si="6"/>
        <v>-0.85</v>
      </c>
      <c r="G18">
        <f t="shared" si="6"/>
        <v>-0.85</v>
      </c>
      <c r="H18">
        <f t="shared" si="6"/>
        <v>-0.85</v>
      </c>
      <c r="I18">
        <f t="shared" si="6"/>
        <v>-0.85</v>
      </c>
      <c r="J18">
        <f t="shared" si="6"/>
        <v>-0.85</v>
      </c>
      <c r="N18" t="s">
        <v>50</v>
      </c>
      <c r="Q18" t="s">
        <v>34</v>
      </c>
      <c r="R18">
        <v>6.5</v>
      </c>
      <c r="S18" t="s">
        <v>46</v>
      </c>
    </row>
    <row r="19" spans="1:20" x14ac:dyDescent="0.3">
      <c r="A19" t="s">
        <v>23</v>
      </c>
      <c r="D19">
        <f t="shared" ref="D19:J19" si="7">D14+D17</f>
        <v>-52.5</v>
      </c>
      <c r="E19">
        <f t="shared" si="7"/>
        <v>-52.5</v>
      </c>
      <c r="F19">
        <f t="shared" si="7"/>
        <v>-52.5</v>
      </c>
      <c r="G19">
        <f t="shared" si="7"/>
        <v>-52.5</v>
      </c>
      <c r="H19">
        <f t="shared" si="7"/>
        <v>-52.5</v>
      </c>
      <c r="I19">
        <f t="shared" si="7"/>
        <v>-52.5</v>
      </c>
      <c r="J19">
        <f t="shared" si="7"/>
        <v>-52.5</v>
      </c>
    </row>
    <row r="20" spans="1:20" x14ac:dyDescent="0.3">
      <c r="N20" t="s">
        <v>29</v>
      </c>
    </row>
    <row r="21" spans="1:20" x14ac:dyDescent="0.3">
      <c r="A21" t="s">
        <v>24</v>
      </c>
      <c r="D21">
        <f t="shared" ref="D21:J21" si="8">D11+D19</f>
        <v>531.5</v>
      </c>
      <c r="E21">
        <f t="shared" si="8"/>
        <v>458.5</v>
      </c>
      <c r="F21">
        <f t="shared" si="8"/>
        <v>385.5</v>
      </c>
      <c r="G21">
        <f t="shared" si="8"/>
        <v>312.5</v>
      </c>
      <c r="H21">
        <f t="shared" si="8"/>
        <v>239.5</v>
      </c>
      <c r="I21">
        <f t="shared" si="8"/>
        <v>166.5</v>
      </c>
      <c r="J21">
        <f t="shared" si="8"/>
        <v>93.5</v>
      </c>
      <c r="N21" s="2" t="s">
        <v>39</v>
      </c>
      <c r="R21">
        <v>4180</v>
      </c>
      <c r="T21" t="s">
        <v>82</v>
      </c>
    </row>
    <row r="22" spans="1:20" x14ac:dyDescent="0.3">
      <c r="A22" t="s">
        <v>25</v>
      </c>
      <c r="D22" s="1">
        <f t="shared" ref="D22:J22" si="9">D21/$D$3</f>
        <v>1.5185714285714285</v>
      </c>
      <c r="E22" s="1">
        <f t="shared" si="9"/>
        <v>1.31</v>
      </c>
      <c r="F22" s="1">
        <f t="shared" si="9"/>
        <v>1.1014285714285714</v>
      </c>
      <c r="G22" s="1">
        <f t="shared" si="9"/>
        <v>0.8928571428571429</v>
      </c>
      <c r="H22" s="1">
        <f t="shared" si="9"/>
        <v>0.68428571428571427</v>
      </c>
      <c r="I22" s="1">
        <f t="shared" si="9"/>
        <v>0.4757142857142857</v>
      </c>
      <c r="J22" s="1">
        <f t="shared" si="9"/>
        <v>0.26714285714285713</v>
      </c>
      <c r="N22" s="2" t="s">
        <v>40</v>
      </c>
      <c r="R22">
        <v>30</v>
      </c>
      <c r="S22" t="s">
        <v>41</v>
      </c>
    </row>
    <row r="23" spans="1:20" x14ac:dyDescent="0.3">
      <c r="D23" s="1"/>
      <c r="N23" s="2" t="s">
        <v>35</v>
      </c>
      <c r="R23" s="3">
        <f>R21/R22</f>
        <v>139.33333333333334</v>
      </c>
    </row>
    <row r="24" spans="1:20" x14ac:dyDescent="0.3">
      <c r="A24" t="s">
        <v>27</v>
      </c>
      <c r="N24" s="2" t="s">
        <v>36</v>
      </c>
      <c r="P24" t="s">
        <v>37</v>
      </c>
      <c r="R24">
        <v>15</v>
      </c>
      <c r="S24" t="s">
        <v>41</v>
      </c>
      <c r="T24" t="s">
        <v>48</v>
      </c>
    </row>
    <row r="25" spans="1:20" x14ac:dyDescent="0.3">
      <c r="A25" t="s">
        <v>9</v>
      </c>
      <c r="D25">
        <f t="shared" ref="D25:J25" si="10">D11/$D$3</f>
        <v>1.6685714285714286</v>
      </c>
      <c r="E25">
        <f t="shared" si="10"/>
        <v>1.46</v>
      </c>
      <c r="F25">
        <f t="shared" si="10"/>
        <v>1.2514285714285713</v>
      </c>
      <c r="G25">
        <f t="shared" si="10"/>
        <v>1.0428571428571429</v>
      </c>
      <c r="H25">
        <f t="shared" si="10"/>
        <v>0.8342857142857143</v>
      </c>
      <c r="I25">
        <f t="shared" si="10"/>
        <v>0.62571428571428567</v>
      </c>
      <c r="J25">
        <f t="shared" si="10"/>
        <v>0.41714285714285715</v>
      </c>
      <c r="N25" s="2" t="s">
        <v>38</v>
      </c>
      <c r="R25">
        <v>5.0000000000000001E-3</v>
      </c>
      <c r="T25" t="s">
        <v>54</v>
      </c>
    </row>
    <row r="26" spans="1:20" x14ac:dyDescent="0.3">
      <c r="A26" t="s">
        <v>10</v>
      </c>
      <c r="N26" s="2"/>
    </row>
    <row r="27" spans="1:20" ht="15.6" x14ac:dyDescent="0.35">
      <c r="A27" t="s">
        <v>11</v>
      </c>
      <c r="N27" s="2" t="s">
        <v>32</v>
      </c>
      <c r="R27">
        <f>R23*R24*R25*365</f>
        <v>3814.2500000000005</v>
      </c>
      <c r="S27" t="s">
        <v>73</v>
      </c>
      <c r="T27" t="s">
        <v>74</v>
      </c>
    </row>
    <row r="28" spans="1:20" x14ac:dyDescent="0.3">
      <c r="A28" t="s">
        <v>12</v>
      </c>
    </row>
    <row r="29" spans="1:20" x14ac:dyDescent="0.3">
      <c r="N29" t="s">
        <v>30</v>
      </c>
    </row>
    <row r="30" spans="1:20" x14ac:dyDescent="0.3">
      <c r="N30" s="2" t="s">
        <v>45</v>
      </c>
      <c r="R30">
        <v>5</v>
      </c>
      <c r="S30" t="s">
        <v>41</v>
      </c>
    </row>
    <row r="31" spans="1:20" x14ac:dyDescent="0.3">
      <c r="A31" t="s">
        <v>16</v>
      </c>
      <c r="D31">
        <f t="shared" ref="D31:J31" si="11">D11*$D$4/1000</f>
        <v>8.76</v>
      </c>
      <c r="E31">
        <f t="shared" si="11"/>
        <v>7.665</v>
      </c>
      <c r="F31">
        <f t="shared" si="11"/>
        <v>6.57</v>
      </c>
      <c r="G31">
        <f t="shared" si="11"/>
        <v>5.4749999999999996</v>
      </c>
      <c r="H31">
        <f t="shared" si="11"/>
        <v>4.38</v>
      </c>
      <c r="I31">
        <f t="shared" si="11"/>
        <v>3.2850000000000001</v>
      </c>
      <c r="J31">
        <f t="shared" si="11"/>
        <v>2.19</v>
      </c>
      <c r="N31" s="2" t="s">
        <v>43</v>
      </c>
      <c r="R31">
        <v>18.25</v>
      </c>
      <c r="S31" t="s">
        <v>41</v>
      </c>
      <c r="T31" t="s">
        <v>81</v>
      </c>
    </row>
    <row r="32" spans="1:20" x14ac:dyDescent="0.3">
      <c r="A32" t="s">
        <v>26</v>
      </c>
      <c r="D32" s="1">
        <f t="shared" ref="D32:J32" si="12">D31/$D$3</f>
        <v>2.5028571428571428E-2</v>
      </c>
      <c r="E32" s="1">
        <f t="shared" si="12"/>
        <v>2.1899999999999999E-2</v>
      </c>
      <c r="F32" s="1">
        <f t="shared" si="12"/>
        <v>1.8771428571428571E-2</v>
      </c>
      <c r="G32" s="1">
        <f t="shared" si="12"/>
        <v>1.5642857142857142E-2</v>
      </c>
      <c r="H32" s="1">
        <f t="shared" si="12"/>
        <v>1.2514285714285714E-2</v>
      </c>
      <c r="I32" s="1">
        <f t="shared" si="12"/>
        <v>9.3857142857142854E-3</v>
      </c>
      <c r="J32" s="1">
        <f t="shared" si="12"/>
        <v>6.257142857142857E-3</v>
      </c>
      <c r="N32" s="2"/>
    </row>
    <row r="33" spans="1:20" ht="15" x14ac:dyDescent="0.35">
      <c r="A33" t="s">
        <v>28</v>
      </c>
      <c r="D33" s="1">
        <f t="shared" ref="D33:J33" si="13">(D31*1000)/D21</f>
        <v>16.481655691439322</v>
      </c>
      <c r="E33" s="1">
        <f t="shared" si="13"/>
        <v>16.717557251908396</v>
      </c>
      <c r="F33" s="1">
        <f t="shared" si="13"/>
        <v>17.042801556420233</v>
      </c>
      <c r="G33" s="1">
        <f t="shared" si="13"/>
        <v>17.52</v>
      </c>
      <c r="H33" s="1">
        <f t="shared" si="13"/>
        <v>18.288100208768267</v>
      </c>
      <c r="I33" s="1">
        <f t="shared" si="13"/>
        <v>19.72972972972973</v>
      </c>
      <c r="J33" s="1">
        <f t="shared" si="13"/>
        <v>23.422459893048128</v>
      </c>
      <c r="N33" s="2" t="s">
        <v>33</v>
      </c>
      <c r="O33" t="s">
        <v>44</v>
      </c>
      <c r="R33">
        <f>R30*1*R31</f>
        <v>91.25</v>
      </c>
      <c r="S33" t="s">
        <v>42</v>
      </c>
      <c r="T33" t="s">
        <v>75</v>
      </c>
    </row>
    <row r="36" spans="1:20" x14ac:dyDescent="0.3">
      <c r="N36" t="s">
        <v>76</v>
      </c>
      <c r="R36" s="1">
        <f>((R18*R33)+(R27*R17))/(R33+R27)</f>
        <v>7.4766355140186915</v>
      </c>
      <c r="S36" t="s">
        <v>46</v>
      </c>
      <c r="T36" t="s">
        <v>77</v>
      </c>
    </row>
    <row r="38" spans="1:20" x14ac:dyDescent="0.3">
      <c r="N38" t="s">
        <v>47</v>
      </c>
      <c r="R38" s="1">
        <f>R36-R17</f>
        <v>-2.3364485981308469E-2</v>
      </c>
      <c r="S38" t="s">
        <v>46</v>
      </c>
    </row>
    <row r="41" spans="1:20" x14ac:dyDescent="0.3">
      <c r="N41" t="s">
        <v>66</v>
      </c>
    </row>
    <row r="42" spans="1:20" x14ac:dyDescent="0.3">
      <c r="N42" t="s">
        <v>67</v>
      </c>
      <c r="O42">
        <v>41.2</v>
      </c>
      <c r="P42">
        <v>9000</v>
      </c>
    </row>
    <row r="43" spans="1:20" x14ac:dyDescent="0.3">
      <c r="N43" t="s">
        <v>68</v>
      </c>
      <c r="O43">
        <v>38.700000000000003</v>
      </c>
      <c r="P43">
        <v>8500</v>
      </c>
    </row>
    <row r="44" spans="1:20" x14ac:dyDescent="0.3">
      <c r="N44" t="s">
        <v>69</v>
      </c>
      <c r="O44">
        <v>40.299999999999997</v>
      </c>
      <c r="P44">
        <v>1800</v>
      </c>
    </row>
    <row r="45" spans="1:20" x14ac:dyDescent="0.3">
      <c r="N45" t="s">
        <v>70</v>
      </c>
      <c r="O45">
        <v>30</v>
      </c>
      <c r="P45">
        <v>1600</v>
      </c>
    </row>
    <row r="46" spans="1:20" x14ac:dyDescent="0.3">
      <c r="N46" t="s">
        <v>71</v>
      </c>
      <c r="O46">
        <v>33</v>
      </c>
      <c r="P46">
        <v>5798</v>
      </c>
    </row>
    <row r="48" spans="1:20" x14ac:dyDescent="0.3">
      <c r="N48" t="s">
        <v>72</v>
      </c>
      <c r="P48">
        <f>GEOMEAN(P42:P46)</f>
        <v>4180.8677182693928</v>
      </c>
    </row>
    <row r="51" spans="14:24" ht="36" customHeight="1" x14ac:dyDescent="0.3">
      <c r="N51" s="8" t="s">
        <v>85</v>
      </c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mergeCells count="1">
    <mergeCell ref="N51:X5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SandBed</vt:lpstr>
      <vt:lpstr>DripLine</vt:lpstr>
      <vt:lpstr>DripLine!Print_Area</vt:lpstr>
      <vt:lpstr>SandBed!Print_Area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Rae</dc:creator>
  <cp:lastModifiedBy>Gary Rae</cp:lastModifiedBy>
  <cp:lastPrinted>2022-02-15T00:05:07Z</cp:lastPrinted>
  <dcterms:created xsi:type="dcterms:W3CDTF">2022-02-13T22:15:35Z</dcterms:created>
  <dcterms:modified xsi:type="dcterms:W3CDTF">2022-02-15T00:21:41Z</dcterms:modified>
</cp:coreProperties>
</file>